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110" windowHeight="8415" activeTab="0"/>
  </bookViews>
  <sheets>
    <sheet name="Attach A-15-16-GF Summ" sheetId="1" r:id="rId1"/>
    <sheet name="Attach B-Adj to Base GF" sheetId="2" r:id="rId2"/>
    <sheet name="Attach C-Prelim New GF" sheetId="3" r:id="rId3"/>
    <sheet name="Attach D-net-tuition-rev" sheetId="4" r:id="rId4"/>
  </sheets>
  <definedNames>
    <definedName name="_xlnm.Print_Area" localSheetId="1">'Attach B-Adj to Base GF'!$A$1:$H$42</definedName>
    <definedName name="_xlnm.Print_Area" localSheetId="2">'Attach C-Prelim New GF'!$A$1:$Q$40</definedName>
  </definedNames>
  <calcPr fullCalcOnLoad="1"/>
</workbook>
</file>

<file path=xl/comments4.xml><?xml version="1.0" encoding="utf-8"?>
<comments xmlns="http://schemas.openxmlformats.org/spreadsheetml/2006/main">
  <authors>
    <author>Rideau, Rodney</author>
    <author>Canfield, Chris</author>
  </authors>
  <commentList>
    <comment ref="E38" authorId="0">
      <text>
        <r>
          <rPr>
            <b/>
            <sz val="9"/>
            <rFont val="Tahoma"/>
            <family val="2"/>
          </rPr>
          <t>Rideau, Rodney:</t>
        </r>
        <r>
          <rPr>
            <sz val="9"/>
            <rFont val="Tahoma"/>
            <family val="2"/>
          </rPr>
          <t xml:space="preserve">
Summer Arts revenue collected and administered by Monterey Bay</t>
        </r>
      </text>
    </comment>
    <comment ref="G36" authorId="1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since base revenue for program at campuses, change in mix revenue (-$1,407,000) not shown here; would result in negative total revenue on this line</t>
        </r>
      </text>
    </comment>
  </commentList>
</comments>
</file>

<file path=xl/sharedStrings.xml><?xml version="1.0" encoding="utf-8"?>
<sst xmlns="http://schemas.openxmlformats.org/spreadsheetml/2006/main" count="179" uniqueCount="88">
  <si>
    <t>Campus/CO Programs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</si>
  <si>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</si>
  <si>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</si>
  <si>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</si>
  <si>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</si>
  <si>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</si>
  <si>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</si>
  <si>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</si>
  <si>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</si>
  <si>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</si>
  <si>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</si>
  <si>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</si>
  <si>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</si>
  <si>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</si>
  <si>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</si>
  <si>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</si>
  <si>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</si>
  <si>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</si>
  <si>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</si>
  <si>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</si>
  <si>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</si>
  <si>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</si>
  <si>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</si>
  <si>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</si>
  <si>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</si>
  <si>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</si>
  <si>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CalStateTeach</t>
  </si>
  <si>
    <t>International Programs</t>
  </si>
  <si>
    <t>Summer Arts</t>
  </si>
  <si>
    <t>Systemwide Provisions</t>
  </si>
  <si>
    <t>CSU System Total</t>
  </si>
  <si>
    <t>Health</t>
  </si>
  <si>
    <t>New Space</t>
  </si>
  <si>
    <t>2015-16 Preliminary General Fund Allocation</t>
  </si>
  <si>
    <t>Mandatory Costs</t>
  </si>
  <si>
    <t>Budget Plan Allocations</t>
  </si>
  <si>
    <t xml:space="preserve"> </t>
  </si>
  <si>
    <t>Coded Memo B 2014-03 General Fund Allocation</t>
  </si>
  <si>
    <t>(Sum of Cols. 1-6)</t>
  </si>
  <si>
    <t>Discounts</t>
  </si>
  <si>
    <t>Total Preliminary 2015-16 Net Tuition and Fee Revenue</t>
  </si>
  <si>
    <t>(Cols. 2 + 6)</t>
  </si>
  <si>
    <t>GO &amp; Lease Revenue Bond Debt Service</t>
  </si>
  <si>
    <t xml:space="preserve">GO &amp; Lease Revenue Bond Debt Service </t>
  </si>
  <si>
    <t>For Reference Only</t>
  </si>
  <si>
    <t xml:space="preserve">ATTACHMENT B - Revisions to 2014-15 General Fund Allocations </t>
  </si>
  <si>
    <t>ATTACHMENT A - General Fund Summary</t>
  </si>
  <si>
    <t>ATTACHMENT C  - New 2015-16 General Fund Allocations</t>
  </si>
  <si>
    <t>Total Revisions</t>
  </si>
  <si>
    <t>Total Preliminary General Fund Allocations</t>
  </si>
  <si>
    <t>Total Preliminary  2015-16 Tuition Fee Discounts</t>
  </si>
  <si>
    <t>2015-16 Preliminary FTES Increase</t>
  </si>
  <si>
    <r>
      <t xml:space="preserve">GF Adjustment, Tuition Fee Discounts </t>
    </r>
    <r>
      <rPr>
        <sz val="9"/>
        <color indexed="8"/>
        <rFont val="Calibri"/>
        <family val="2"/>
      </rPr>
      <t>(based on campus relative need)</t>
    </r>
  </si>
  <si>
    <r>
      <t xml:space="preserve">Tuition Fee Discount Increases </t>
    </r>
    <r>
      <rPr>
        <sz val="9"/>
        <rFont val="Calibri"/>
        <family val="2"/>
      </rPr>
      <t>(distribution based on campus relative need)</t>
    </r>
  </si>
  <si>
    <t>GF Adjustment</t>
  </si>
  <si>
    <t>(Sum of Cols. 1-8)</t>
  </si>
  <si>
    <t>(Sum of Cols. 1-2)</t>
  </si>
  <si>
    <t>(Sum of Cols. 1-3)</t>
  </si>
  <si>
    <t>Coded Memo B 2015-01</t>
  </si>
  <si>
    <r>
      <t xml:space="preserve">Retirement </t>
    </r>
    <r>
      <rPr>
        <sz val="9"/>
        <color indexed="8"/>
        <rFont val="Calibri"/>
        <family val="2"/>
      </rPr>
      <t>(new CSU obligation)</t>
    </r>
  </si>
  <si>
    <t>($4,732 GF / FTES)</t>
  </si>
  <si>
    <t>2014-15 Resident FTES Target</t>
  </si>
  <si>
    <r>
      <t xml:space="preserve">2015-16 Nonresident FTES 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</si>
  <si>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The nonresident FTES is equal to the 2013/14 actual FTES.</t>
    </r>
  </si>
  <si>
    <t>2015-16 May Budget Allocations</t>
  </si>
  <si>
    <t xml:space="preserve">2015-16 May Budget Allocation </t>
  </si>
  <si>
    <t>2015-16 May Budget Allocation</t>
  </si>
  <si>
    <t>(Attach. B, Col. 3)</t>
  </si>
  <si>
    <t>(Attach. C, Col. 9)</t>
  </si>
  <si>
    <t>In Lieu of Enrollment Penalties / Change in Mix</t>
  </si>
  <si>
    <r>
      <t xml:space="preserve"> 2014-15 Final Budget Gross Tuition and Fee Revenue </t>
    </r>
    <r>
      <rPr>
        <i/>
        <sz val="11"/>
        <color indexed="8"/>
        <rFont val="Calibri"/>
        <family val="2"/>
      </rPr>
      <t>(Campus Reported)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</si>
  <si>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Represents the year over year adjustment of (instate) tuition fee revenue (e.g., $5,472 for a full-time undergraduate student) paid by nonresident students. Additional nonresident tuition is not factored here (e.g., $11,160 academic year for full-time student taking 30 units per year).</t>
    </r>
  </si>
  <si>
    <t>Revisions to 2014-15 General Fund Allocations</t>
  </si>
  <si>
    <t>New 2015-16 General Fund Allocations</t>
  </si>
  <si>
    <t>2014-15 State Funded Retirement Adjustment</t>
  </si>
  <si>
    <t>Funded Student Enrollment Growth</t>
  </si>
  <si>
    <t>2 Percent Employee Compensation Pool Increase</t>
  </si>
  <si>
    <t>Systemwide Initiatives</t>
  </si>
  <si>
    <t>2015-16 Resident FTES Increase</t>
  </si>
  <si>
    <t>Adjustments in 2015-16 Tuition Fee Revenue and Discounts</t>
  </si>
  <si>
    <r>
      <t xml:space="preserve">Tuition Fee Revenue paid by Resident Students </t>
    </r>
    <r>
      <rPr>
        <sz val="9"/>
        <rFont val="Calibri"/>
        <family val="2"/>
      </rPr>
      <t>(based on change in 2013-14 Student Mix)</t>
    </r>
  </si>
  <si>
    <r>
      <t xml:space="preserve">Tuition Fee Revenue (instate) paid by Nonresident Students               </t>
    </r>
    <r>
      <rPr>
        <sz val="9"/>
        <color indexed="8"/>
        <rFont val="Calibri"/>
        <family val="2"/>
      </rPr>
      <t>(based on change in 2013-14 actual)</t>
    </r>
    <r>
      <rPr>
        <vertAlign val="superscript"/>
        <sz val="11"/>
        <color indexed="8"/>
        <rFont val="Calibri"/>
        <family val="2"/>
      </rPr>
      <t xml:space="preserve">2 </t>
    </r>
  </si>
  <si>
    <t>Gross Tuition Fee Revenue from 3,442 FTES Funded Enrollment Growth</t>
  </si>
  <si>
    <t>ATTACHMENT D - Projections of 2015-16 Tuition and Fee Revenues including Tuition Fee Discounts</t>
  </si>
  <si>
    <t>(est. 90% distributed)</t>
  </si>
  <si>
    <r>
      <t xml:space="preserve">2014-15 Final Budget Tuition Fee Discounts </t>
    </r>
    <r>
      <rPr>
        <i/>
        <sz val="9"/>
        <color indexed="8"/>
        <rFont val="Calibri"/>
        <family val="2"/>
      </rPr>
      <t xml:space="preserve">(Coded Memo B 2014-03) </t>
    </r>
  </si>
  <si>
    <t>Total New            2015-16 General Fund Allocations</t>
  </si>
  <si>
    <t>May 13,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</si>
</sst>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000%"/>
    <numFmt numFmtId="167" formatCode="#,##0.000_);\(#,##0.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Geneva"/>
      <family val="0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 wrapText="1"/>
    </xf>
    <xf numFmtId="37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7" fontId="53" fillId="0" borderId="10" xfId="0" applyNumberFormat="1" applyFont="1" applyBorder="1" applyAlignment="1">
      <alignment/>
    </xf>
    <xf numFmtId="37" fontId="53" fillId="0" borderId="0" xfId="0" applyNumberFormat="1" applyFont="1" applyAlignment="1">
      <alignment vertical="center"/>
    </xf>
    <xf numFmtId="37" fontId="53" fillId="0" borderId="11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3" fillId="0" borderId="0" xfId="0" applyNumberFormat="1" applyFont="1" applyAlignment="1">
      <alignment/>
    </xf>
    <xf numFmtId="37" fontId="56" fillId="0" borderId="0" xfId="0" applyNumberFormat="1" applyFont="1" applyAlignment="1">
      <alignment/>
    </xf>
    <xf numFmtId="5" fontId="53" fillId="0" borderId="10" xfId="0" applyNumberFormat="1" applyFont="1" applyBorder="1" applyAlignment="1">
      <alignment/>
    </xf>
    <xf numFmtId="5" fontId="53" fillId="0" borderId="11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/>
    </xf>
    <xf numFmtId="37" fontId="53" fillId="0" borderId="0" xfId="0" applyNumberFormat="1" applyFont="1" applyAlignment="1">
      <alignment horizontal="center" wrapText="1"/>
    </xf>
    <xf numFmtId="37" fontId="12" fillId="0" borderId="0" xfId="0" applyNumberFormat="1" applyFont="1" applyFill="1" applyAlignment="1">
      <alignment horizontal="center" wrapText="1"/>
    </xf>
    <xf numFmtId="37" fontId="13" fillId="0" borderId="0" xfId="0" applyNumberFormat="1" applyFont="1" applyFill="1" applyAlignment="1">
      <alignment horizontal="center" wrapText="1"/>
    </xf>
    <xf numFmtId="37" fontId="57" fillId="0" borderId="0" xfId="0" applyNumberFormat="1" applyFont="1" applyAlignment="1">
      <alignment horizontal="center" wrapText="1"/>
    </xf>
    <xf numFmtId="5" fontId="0" fillId="0" borderId="0" xfId="0" applyNumberFormat="1" applyFont="1" applyFill="1" applyBorder="1" applyAlignment="1">
      <alignment/>
    </xf>
    <xf numFmtId="37" fontId="53" fillId="0" borderId="0" xfId="0" applyNumberFormat="1" applyFont="1" applyBorder="1" applyAlignment="1">
      <alignment horizontal="center" vertical="center"/>
    </xf>
    <xf numFmtId="37" fontId="58" fillId="0" borderId="0" xfId="0" applyNumberFormat="1" applyFont="1" applyAlignment="1">
      <alignment horizontal="left"/>
    </xf>
    <xf numFmtId="37" fontId="53" fillId="0" borderId="11" xfId="0" applyNumberFormat="1" applyFont="1" applyBorder="1" applyAlignment="1">
      <alignment horizontal="center"/>
    </xf>
    <xf numFmtId="37" fontId="53" fillId="0" borderId="12" xfId="0" applyNumberFormat="1" applyFont="1" applyBorder="1" applyAlignment="1">
      <alignment horizontal="center"/>
    </xf>
    <xf numFmtId="37" fontId="53" fillId="0" borderId="0" xfId="0" applyNumberFormat="1" applyFont="1" applyFill="1" applyBorder="1" applyAlignment="1">
      <alignment/>
    </xf>
    <xf numFmtId="37" fontId="58" fillId="0" borderId="12" xfId="0" applyNumberFormat="1" applyFont="1" applyBorder="1" applyAlignment="1">
      <alignment horizontal="left" wrapText="1"/>
    </xf>
    <xf numFmtId="37" fontId="53" fillId="0" borderId="0" xfId="0" applyNumberFormat="1" applyFont="1" applyBorder="1" applyAlignment="1">
      <alignment/>
    </xf>
    <xf numFmtId="37" fontId="53" fillId="0" borderId="10" xfId="0" applyNumberFormat="1" applyFont="1" applyBorder="1" applyAlignment="1">
      <alignment horizontal="center"/>
    </xf>
    <xf numFmtId="5" fontId="53" fillId="33" borderId="10" xfId="0" applyNumberFormat="1" applyFont="1" applyFill="1" applyBorder="1" applyAlignment="1">
      <alignment/>
    </xf>
    <xf numFmtId="37" fontId="59" fillId="33" borderId="0" xfId="0" applyNumberFormat="1" applyFont="1" applyFill="1" applyAlignment="1">
      <alignment horizontal="center" wrapText="1"/>
    </xf>
    <xf numFmtId="5" fontId="53" fillId="33" borderId="11" xfId="0" applyNumberFormat="1" applyFont="1" applyFill="1" applyBorder="1" applyAlignment="1">
      <alignment/>
    </xf>
    <xf numFmtId="37" fontId="60" fillId="0" borderId="0" xfId="0" applyNumberFormat="1" applyFont="1" applyFill="1" applyAlignment="1">
      <alignment wrapText="1"/>
    </xf>
    <xf numFmtId="37" fontId="0" fillId="0" borderId="0" xfId="0" applyNumberFormat="1" applyFont="1" applyFill="1" applyBorder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165" fontId="0" fillId="0" borderId="0" xfId="43" applyNumberFormat="1" applyFont="1" applyAlignment="1">
      <alignment/>
    </xf>
    <xf numFmtId="37" fontId="53" fillId="0" borderId="0" xfId="0" applyNumberFormat="1" applyFont="1" applyBorder="1" applyAlignment="1">
      <alignment vertical="center"/>
    </xf>
    <xf numFmtId="5" fontId="53" fillId="0" borderId="0" xfId="0" applyNumberFormat="1" applyFont="1" applyBorder="1" applyAlignment="1">
      <alignment/>
    </xf>
    <xf numFmtId="37" fontId="53" fillId="0" borderId="0" xfId="0" applyNumberFormat="1" applyFont="1" applyBorder="1" applyAlignment="1">
      <alignment horizontal="center"/>
    </xf>
    <xf numFmtId="37" fontId="53" fillId="0" borderId="12" xfId="0" applyNumberFormat="1" applyFont="1" applyBorder="1" applyAlignment="1">
      <alignment horizontal="center" wrapText="1"/>
    </xf>
    <xf numFmtId="37" fontId="53" fillId="0" borderId="12" xfId="0" applyNumberFormat="1" applyFont="1" applyFill="1" applyBorder="1" applyAlignment="1">
      <alignment horizontal="center" vertical="center"/>
    </xf>
    <xf numFmtId="37" fontId="53" fillId="0" borderId="0" xfId="0" applyNumberFormat="1" applyFont="1" applyFill="1" applyBorder="1" applyAlignment="1">
      <alignment horizontal="center" wrapText="1"/>
    </xf>
    <xf numFmtId="37" fontId="53" fillId="0" borderId="0" xfId="0" applyNumberFormat="1" applyFont="1" applyFill="1" applyAlignment="1">
      <alignment horizontal="center" wrapText="1"/>
    </xf>
    <xf numFmtId="37" fontId="59" fillId="0" borderId="0" xfId="0" applyNumberFormat="1" applyFont="1" applyFill="1" applyAlignment="1">
      <alignment horizontal="center" wrapText="1"/>
    </xf>
    <xf numFmtId="5" fontId="53" fillId="0" borderId="11" xfId="0" applyNumberFormat="1" applyFont="1" applyFill="1" applyBorder="1" applyAlignment="1">
      <alignment/>
    </xf>
    <xf numFmtId="5" fontId="53" fillId="0" borderId="10" xfId="0" applyNumberFormat="1" applyFont="1" applyFill="1" applyBorder="1" applyAlignment="1">
      <alignment/>
    </xf>
    <xf numFmtId="37" fontId="53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6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5" fontId="0" fillId="33" borderId="0" xfId="0" applyNumberFormat="1" applyFont="1" applyFill="1" applyAlignment="1">
      <alignment/>
    </xf>
    <xf numFmtId="7" fontId="0" fillId="0" borderId="0" xfId="0" applyNumberFormat="1" applyFont="1" applyAlignment="1">
      <alignment/>
    </xf>
    <xf numFmtId="5" fontId="0" fillId="0" borderId="11" xfId="0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37" fontId="5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37" fontId="55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/>
    </xf>
    <xf numFmtId="37" fontId="61" fillId="0" borderId="0" xfId="0" applyNumberFormat="1" applyFont="1" applyAlignment="1">
      <alignment/>
    </xf>
    <xf numFmtId="37" fontId="62" fillId="0" borderId="0" xfId="0" applyNumberFormat="1" applyFont="1" applyBorder="1" applyAlignment="1">
      <alignment horizontal="center" wrapText="1"/>
    </xf>
    <xf numFmtId="37" fontId="53" fillId="0" borderId="0" xfId="0" applyNumberFormat="1" applyFont="1" applyAlignment="1" quotePrefix="1">
      <alignment horizontal="right"/>
    </xf>
    <xf numFmtId="37" fontId="53" fillId="0" borderId="12" xfId="0" applyNumberFormat="1" applyFont="1" applyFill="1" applyBorder="1" applyAlignment="1">
      <alignment horizontal="center"/>
    </xf>
    <xf numFmtId="37" fontId="53" fillId="0" borderId="12" xfId="0" applyNumberFormat="1" applyFont="1" applyBorder="1" applyAlignment="1">
      <alignment horizontal="center" wrapText="1"/>
    </xf>
    <xf numFmtId="37" fontId="53" fillId="0" borderId="12" xfId="0" applyNumberFormat="1" applyFont="1" applyBorder="1" applyAlignment="1">
      <alignment horizontal="center" vertical="center"/>
    </xf>
    <xf numFmtId="37" fontId="53" fillId="0" borderId="12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left" wrapText="1"/>
    </xf>
  </cellXfs>
  <cellStyles count="102">
    <cellStyle name="Normal" xfId="0"/>
    <cellStyle name="_FeeWaiver_rvsd_TBLS24-34_7-23-0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omma 4" xfId="49"/>
    <cellStyle name="Comma 4 2" xfId="50"/>
    <cellStyle name="Comma 5" xfId="51"/>
    <cellStyle name="Comma 6" xfId="52"/>
    <cellStyle name="Comma 6 2" xfId="53"/>
    <cellStyle name="Comma 7" xfId="54"/>
    <cellStyle name="Comma 7 2" xfId="55"/>
    <cellStyle name="Comma 7 3" xfId="56"/>
    <cellStyle name="Comma 7 4" xfId="57"/>
    <cellStyle name="Comma 8" xfId="58"/>
    <cellStyle name="Comma 9" xfId="59"/>
    <cellStyle name="Currency" xfId="60"/>
    <cellStyle name="Currency [0]" xfId="61"/>
    <cellStyle name="Currency 2" xfId="62"/>
    <cellStyle name="Currency 2 2" xfId="63"/>
    <cellStyle name="Currency 2 3" xfId="64"/>
    <cellStyle name="Currency 3" xfId="65"/>
    <cellStyle name="Currency 3 2" xfId="66"/>
    <cellStyle name="Currency 4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0" xfId="77"/>
    <cellStyle name="Normal 11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5 2 2" xfId="88"/>
    <cellStyle name="Normal 5 2 3" xfId="89"/>
    <cellStyle name="Normal 5 2 4" xfId="90"/>
    <cellStyle name="Normal 5 2 4 2" xfId="91"/>
    <cellStyle name="Normal 5 2 5" xfId="92"/>
    <cellStyle name="Normal 5 2 5 2" xfId="93"/>
    <cellStyle name="Normal 5 3" xfId="94"/>
    <cellStyle name="Normal 5 4" xfId="95"/>
    <cellStyle name="Normal 5 5" xfId="96"/>
    <cellStyle name="Normal 5 6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te" xfId="104"/>
    <cellStyle name="Output" xfId="105"/>
    <cellStyle name="Percent" xfId="106"/>
    <cellStyle name="Percent 2" xfId="107"/>
    <cellStyle name="Percent 2 2" xfId="108"/>
    <cellStyle name="Percent 3" xfId="109"/>
    <cellStyle name="Percent 4" xfId="110"/>
    <cellStyle name="Percent 5" xfId="111"/>
    <cellStyle name="Style 1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9" sqref="G39"/>
    </sheetView>
  </sheetViews>
  <sheetFormatPr defaultColWidth="8.8515625" defaultRowHeight="15"/>
  <cols>
    <col min="1" max="1" width="36.57421875" style="14" customWidth="1"/>
    <col min="2" max="2" width="14.421875" style="14" bestFit="1" customWidth="1"/>
    <col min="3" max="4" width="13.140625" style="14" bestFit="1" customWidth="1"/>
    <col min="5" max="5" width="14.421875" style="14" bestFit="1" customWidth="1"/>
    <col min="6" max="6" width="2.7109375" style="14" customWidth="1"/>
    <col min="7" max="7" width="14.421875" style="14" customWidth="1"/>
    <col min="8" max="8" width="13.421875" style="14" customWidth="1"/>
    <col min="9" max="9" width="19.7109375" style="14" customWidth="1"/>
    <col min="10" max="16384" width="8.8515625" style="14" customWidth="1"/>
  </cols>
  <sheetData>
    <row r="1" spans="1:5" ht="18.75">
      <c r="A1" s="9" t="s">
        <v>46</v>
      </c>
      <c r="E1" s="60" t="s">
        <v>58</v>
      </c>
    </row>
    <row r="2" spans="1:5" ht="18.75">
      <c r="A2" s="9" t="s">
        <v>64</v>
      </c>
      <c r="E2" s="68" t="s">
        <v>87</v>
      </c>
    </row>
    <row r="3" ht="14.25" customHeight="1">
      <c r="A3" s="9"/>
    </row>
    <row r="4" spans="1:5" ht="14.25" customHeight="1">
      <c r="A4" s="9"/>
      <c r="B4" s="46">
        <v>-1</v>
      </c>
      <c r="C4" s="46">
        <v>-2</v>
      </c>
      <c r="D4" s="46">
        <v>-3</v>
      </c>
      <c r="E4" s="46">
        <v>-4</v>
      </c>
    </row>
    <row r="5" spans="2:5" ht="15.75" thickBot="1">
      <c r="B5" s="69" t="s">
        <v>33</v>
      </c>
      <c r="C5" s="69"/>
      <c r="D5" s="69"/>
      <c r="E5" s="69"/>
    </row>
    <row r="6" spans="2:5" ht="61.5" customHeight="1">
      <c r="B6" s="41" t="s">
        <v>37</v>
      </c>
      <c r="C6" s="1" t="s">
        <v>72</v>
      </c>
      <c r="D6" s="1" t="s">
        <v>73</v>
      </c>
      <c r="E6" s="41" t="s">
        <v>49</v>
      </c>
    </row>
    <row r="7" spans="2:5" s="51" customFormat="1" ht="15" customHeight="1">
      <c r="B7" s="41"/>
      <c r="C7" s="42" t="s">
        <v>67</v>
      </c>
      <c r="D7" s="42" t="s">
        <v>68</v>
      </c>
      <c r="E7" s="42" t="s">
        <v>57</v>
      </c>
    </row>
    <row r="8" spans="2:5" s="51" customFormat="1" ht="9" customHeight="1">
      <c r="B8" s="41"/>
      <c r="C8" s="1"/>
      <c r="D8" s="1"/>
      <c r="E8" s="41"/>
    </row>
    <row r="9" spans="1:5" s="48" customFormat="1" ht="15">
      <c r="A9" s="48" t="s">
        <v>1</v>
      </c>
      <c r="B9" s="48">
        <v>54944409</v>
      </c>
      <c r="C9" s="48">
        <f>'Attach B-Adj to Base GF'!F8+'Attach B-Adj to Base GF'!C8</f>
        <v>1225000</v>
      </c>
      <c r="D9" s="48">
        <f>'Attach C-Prelim New GF'!Q7</f>
        <v>1226700</v>
      </c>
      <c r="E9" s="48">
        <f aca="true" t="shared" si="0" ref="E9:E31">SUM(B9:D9)</f>
        <v>57396109</v>
      </c>
    </row>
    <row r="10" spans="1:5" ht="15">
      <c r="A10" s="14" t="s">
        <v>2</v>
      </c>
      <c r="B10" s="14">
        <v>60207210</v>
      </c>
      <c r="C10" s="14">
        <f>'Attach B-Adj to Base GF'!F9+'Attach B-Adj to Base GF'!C9</f>
        <v>1155000</v>
      </c>
      <c r="D10" s="14">
        <f>'Attach C-Prelim New GF'!Q8</f>
        <v>2087200</v>
      </c>
      <c r="E10" s="14">
        <f t="shared" si="0"/>
        <v>63449410</v>
      </c>
    </row>
    <row r="11" spans="1:5" ht="15">
      <c r="A11" s="14" t="s">
        <v>3</v>
      </c>
      <c r="B11" s="14">
        <v>92245032</v>
      </c>
      <c r="C11" s="14">
        <f>'Attach B-Adj to Base GF'!F10+'Attach B-Adj to Base GF'!C10</f>
        <v>2318000</v>
      </c>
      <c r="D11" s="14">
        <f>'Attach C-Prelim New GF'!Q9</f>
        <v>3237000</v>
      </c>
      <c r="E11" s="14">
        <f t="shared" si="0"/>
        <v>97800032</v>
      </c>
    </row>
    <row r="12" spans="1:5" ht="15">
      <c r="A12" s="14" t="s">
        <v>4</v>
      </c>
      <c r="B12" s="14">
        <v>65742152</v>
      </c>
      <c r="C12" s="14">
        <f>'Attach B-Adj to Base GF'!F11+'Attach B-Adj to Base GF'!C11</f>
        <v>1526000</v>
      </c>
      <c r="D12" s="14">
        <f>'Attach C-Prelim New GF'!Q10</f>
        <v>2089700</v>
      </c>
      <c r="E12" s="14">
        <f t="shared" si="0"/>
        <v>69357852</v>
      </c>
    </row>
    <row r="13" spans="1:5" ht="15">
      <c r="A13" s="14" t="s">
        <v>5</v>
      </c>
      <c r="B13" s="14">
        <v>74079561</v>
      </c>
      <c r="C13" s="14">
        <f>'Attach B-Adj to Base GF'!F12+'Attach B-Adj to Base GF'!C12</f>
        <v>2061000</v>
      </c>
      <c r="D13" s="14">
        <f>'Attach C-Prelim New GF'!Q11</f>
        <v>2746300</v>
      </c>
      <c r="E13" s="14">
        <f t="shared" si="0"/>
        <v>78886861</v>
      </c>
    </row>
    <row r="14" spans="1:5" ht="15">
      <c r="A14" s="14" t="s">
        <v>6</v>
      </c>
      <c r="B14" s="14">
        <v>118455832</v>
      </c>
      <c r="C14" s="14">
        <f>'Attach B-Adj to Base GF'!F13+'Attach B-Adj to Base GF'!C13</f>
        <v>2883000</v>
      </c>
      <c r="D14" s="14">
        <f>'Attach C-Prelim New GF'!Q12</f>
        <v>3155900</v>
      </c>
      <c r="E14" s="14">
        <f t="shared" si="0"/>
        <v>124494732</v>
      </c>
    </row>
    <row r="15" spans="1:5" ht="15">
      <c r="A15" s="14" t="s">
        <v>7</v>
      </c>
      <c r="B15" s="14">
        <v>144394061</v>
      </c>
      <c r="C15" s="14">
        <f>'Attach B-Adj to Base GF'!F14+'Attach B-Adj to Base GF'!C14</f>
        <v>4242000</v>
      </c>
      <c r="D15" s="14">
        <f>'Attach C-Prelim New GF'!Q13</f>
        <v>4365500</v>
      </c>
      <c r="E15" s="14">
        <f t="shared" si="0"/>
        <v>153001561</v>
      </c>
    </row>
    <row r="16" spans="1:5" ht="15">
      <c r="A16" s="14" t="s">
        <v>8</v>
      </c>
      <c r="B16" s="14">
        <v>63858110</v>
      </c>
      <c r="C16" s="14">
        <f>'Attach B-Adj to Base GF'!F15+'Attach B-Adj to Base GF'!C15</f>
        <v>1499000</v>
      </c>
      <c r="D16" s="14">
        <f>'Attach C-Prelim New GF'!Q14</f>
        <v>1337500</v>
      </c>
      <c r="E16" s="14">
        <f t="shared" si="0"/>
        <v>66694610</v>
      </c>
    </row>
    <row r="17" spans="1:5" ht="15">
      <c r="A17" s="14" t="s">
        <v>9</v>
      </c>
      <c r="B17" s="14">
        <v>156941836.16</v>
      </c>
      <c r="C17" s="14">
        <f>'Attach B-Adj to Base GF'!F16+'Attach B-Adj to Base GF'!C16</f>
        <v>4555000</v>
      </c>
      <c r="D17" s="14">
        <f>'Attach C-Prelim New GF'!Q15</f>
        <v>3866300</v>
      </c>
      <c r="E17" s="14">
        <f t="shared" si="0"/>
        <v>165363136.16</v>
      </c>
    </row>
    <row r="18" spans="1:5" ht="15">
      <c r="A18" s="14" t="s">
        <v>10</v>
      </c>
      <c r="B18" s="14">
        <v>112197039</v>
      </c>
      <c r="C18" s="14">
        <f>'Attach B-Adj to Base GF'!F17+'Attach B-Adj to Base GF'!C17</f>
        <v>2706000</v>
      </c>
      <c r="D18" s="14">
        <f>'Attach C-Prelim New GF'!Q16</f>
        <v>2539200</v>
      </c>
      <c r="E18" s="14">
        <f t="shared" si="0"/>
        <v>117442239</v>
      </c>
    </row>
    <row r="19" spans="1:5" ht="15">
      <c r="A19" s="14" t="s">
        <v>11</v>
      </c>
      <c r="B19" s="14">
        <v>26018276</v>
      </c>
      <c r="C19" s="14">
        <f>'Attach B-Adj to Base GF'!F18+'Attach B-Adj to Base GF'!C18</f>
        <v>404000</v>
      </c>
      <c r="D19" s="14">
        <f>'Attach C-Prelim New GF'!Q17</f>
        <v>360700</v>
      </c>
      <c r="E19" s="14">
        <f t="shared" si="0"/>
        <v>26782976</v>
      </c>
    </row>
    <row r="20" spans="1:5" ht="15">
      <c r="A20" s="14" t="s">
        <v>12</v>
      </c>
      <c r="B20" s="14">
        <v>57244983</v>
      </c>
      <c r="C20" s="14">
        <f>'Attach B-Adj to Base GF'!F19+'Attach B-Adj to Base GF'!C19</f>
        <v>1064000</v>
      </c>
      <c r="D20" s="14">
        <f>'Attach C-Prelim New GF'!Q18</f>
        <v>2084600</v>
      </c>
      <c r="E20" s="14">
        <f t="shared" si="0"/>
        <v>60393583</v>
      </c>
    </row>
    <row r="21" spans="1:5" ht="15">
      <c r="A21" s="14" t="s">
        <v>13</v>
      </c>
      <c r="B21" s="14">
        <v>154242396</v>
      </c>
      <c r="C21" s="14">
        <f>'Attach B-Adj to Base GF'!F20+'Attach B-Adj to Base GF'!C20</f>
        <v>4458000</v>
      </c>
      <c r="D21" s="14">
        <f>'Attach C-Prelim New GF'!Q19</f>
        <v>3919400</v>
      </c>
      <c r="E21" s="14">
        <f t="shared" si="0"/>
        <v>162619796</v>
      </c>
    </row>
    <row r="22" spans="1:5" ht="15">
      <c r="A22" s="14" t="s">
        <v>14</v>
      </c>
      <c r="B22" s="14">
        <v>112335342</v>
      </c>
      <c r="C22" s="14">
        <f>'Attach B-Adj to Base GF'!F21+'Attach B-Adj to Base GF'!C21</f>
        <v>2944000</v>
      </c>
      <c r="D22" s="14">
        <f>'Attach C-Prelim New GF'!Q20</f>
        <v>2892200</v>
      </c>
      <c r="E22" s="14">
        <f t="shared" si="0"/>
        <v>118171542</v>
      </c>
    </row>
    <row r="23" spans="1:5" ht="15">
      <c r="A23" s="14" t="s">
        <v>15</v>
      </c>
      <c r="B23" s="14">
        <v>126337437</v>
      </c>
      <c r="C23" s="14">
        <f>'Attach B-Adj to Base GF'!F22+'Attach B-Adj to Base GF'!C22</f>
        <v>3226000</v>
      </c>
      <c r="D23" s="14">
        <f>'Attach C-Prelim New GF'!Q21</f>
        <v>2821200</v>
      </c>
      <c r="E23" s="14">
        <f t="shared" si="0"/>
        <v>132384637</v>
      </c>
    </row>
    <row r="24" spans="1:5" ht="15">
      <c r="A24" s="14" t="s">
        <v>16</v>
      </c>
      <c r="B24" s="14">
        <v>86861208</v>
      </c>
      <c r="C24" s="14">
        <f>'Attach B-Adj to Base GF'!F23+'Attach B-Adj to Base GF'!C23</f>
        <v>2406000</v>
      </c>
      <c r="D24" s="14">
        <f>'Attach C-Prelim New GF'!Q22</f>
        <v>2352300</v>
      </c>
      <c r="E24" s="14">
        <f t="shared" si="0"/>
        <v>91619508</v>
      </c>
    </row>
    <row r="25" spans="1:5" ht="15">
      <c r="A25" s="14" t="s">
        <v>17</v>
      </c>
      <c r="B25" s="14">
        <v>153746796</v>
      </c>
      <c r="C25" s="14">
        <f>'Attach B-Adj to Base GF'!F24+'Attach B-Adj to Base GF'!C24</f>
        <v>4248000</v>
      </c>
      <c r="D25" s="14">
        <f>'Attach C-Prelim New GF'!Q23</f>
        <v>3730800</v>
      </c>
      <c r="E25" s="14">
        <f t="shared" si="0"/>
        <v>161725596</v>
      </c>
    </row>
    <row r="26" spans="1:5" ht="15">
      <c r="A26" s="14" t="s">
        <v>18</v>
      </c>
      <c r="B26" s="14">
        <v>131532859</v>
      </c>
      <c r="C26" s="14">
        <f>'Attach B-Adj to Base GF'!F25+'Attach B-Adj to Base GF'!C25</f>
        <v>4052000</v>
      </c>
      <c r="D26" s="14">
        <f>'Attach C-Prelim New GF'!Q24</f>
        <v>3382600</v>
      </c>
      <c r="E26" s="14">
        <f t="shared" si="0"/>
        <v>138967459</v>
      </c>
    </row>
    <row r="27" spans="1:5" ht="15">
      <c r="A27" s="14" t="s">
        <v>19</v>
      </c>
      <c r="B27" s="14">
        <v>124051382</v>
      </c>
      <c r="C27" s="14">
        <f>'Attach B-Adj to Base GF'!F26+'Attach B-Adj to Base GF'!C26</f>
        <v>3867000</v>
      </c>
      <c r="D27" s="14">
        <f>'Attach C-Prelim New GF'!Q25</f>
        <v>3604800</v>
      </c>
      <c r="E27" s="14">
        <f t="shared" si="0"/>
        <v>131523182</v>
      </c>
    </row>
    <row r="28" spans="1:5" ht="15">
      <c r="A28" s="14" t="s">
        <v>20</v>
      </c>
      <c r="B28" s="14">
        <v>105471968</v>
      </c>
      <c r="C28" s="14">
        <f>'Attach B-Adj to Base GF'!F27+'Attach B-Adj to Base GF'!C27</f>
        <v>3478000</v>
      </c>
      <c r="D28" s="14">
        <f>'Attach C-Prelim New GF'!Q26</f>
        <v>2568500</v>
      </c>
      <c r="E28" s="14">
        <f t="shared" si="0"/>
        <v>111518468</v>
      </c>
    </row>
    <row r="29" spans="1:5" ht="15">
      <c r="A29" s="14" t="s">
        <v>21</v>
      </c>
      <c r="B29" s="14">
        <v>62268552</v>
      </c>
      <c r="C29" s="14">
        <f>'Attach B-Adj to Base GF'!F28+'Attach B-Adj to Base GF'!C28</f>
        <v>1849000</v>
      </c>
      <c r="D29" s="14">
        <f>'Attach C-Prelim New GF'!Q27</f>
        <v>2440000</v>
      </c>
      <c r="E29" s="14">
        <f t="shared" si="0"/>
        <v>66557552</v>
      </c>
    </row>
    <row r="30" spans="1:5" ht="15">
      <c r="A30" s="14" t="s">
        <v>22</v>
      </c>
      <c r="B30" s="14">
        <v>53742483</v>
      </c>
      <c r="C30" s="14">
        <f>'Attach B-Adj to Base GF'!F29+'Attach B-Adj to Base GF'!C29</f>
        <v>1345000</v>
      </c>
      <c r="D30" s="14">
        <f>'Attach C-Prelim New GF'!Q28</f>
        <v>1505300</v>
      </c>
      <c r="E30" s="14">
        <f t="shared" si="0"/>
        <v>56592783</v>
      </c>
    </row>
    <row r="31" spans="1:5" ht="15">
      <c r="A31" s="14" t="s">
        <v>23</v>
      </c>
      <c r="B31" s="14">
        <v>52742547</v>
      </c>
      <c r="C31" s="14">
        <f>'Attach B-Adj to Base GF'!F30+'Attach B-Adj to Base GF'!C30</f>
        <v>1212000</v>
      </c>
      <c r="D31" s="14">
        <f>'Attach C-Prelim New GF'!Q29</f>
        <v>1112100</v>
      </c>
      <c r="E31" s="14">
        <f t="shared" si="0"/>
        <v>55066647</v>
      </c>
    </row>
    <row r="32" ht="6" customHeight="1"/>
    <row r="33" spans="1:6" s="48" customFormat="1" ht="15">
      <c r="A33" s="11" t="s">
        <v>24</v>
      </c>
      <c r="B33" s="11">
        <v>2189661471.16</v>
      </c>
      <c r="C33" s="11">
        <f>SUM(C9:C31)</f>
        <v>58723000</v>
      </c>
      <c r="D33" s="11">
        <f>SUM(D9:D31)</f>
        <v>59425800</v>
      </c>
      <c r="E33" s="11">
        <f>SUM(E9:E31)</f>
        <v>2307810271.16</v>
      </c>
      <c r="F33" s="58"/>
    </row>
    <row r="34" ht="6" customHeight="1"/>
    <row r="35" spans="1:5" ht="15">
      <c r="A35" s="14" t="s">
        <v>25</v>
      </c>
      <c r="B35" s="14">
        <v>89108999</v>
      </c>
      <c r="C35" s="14">
        <f>'Attach B-Adj to Base GF'!F34+'Attach B-Adj to Base GF'!C34</f>
        <v>3230000</v>
      </c>
      <c r="D35" s="14">
        <f>'Attach C-Prelim New GF'!Q33</f>
        <v>1390000</v>
      </c>
      <c r="E35" s="14">
        <f aca="true" t="shared" si="1" ref="E35:E40">SUM(B35:D35)</f>
        <v>93728999</v>
      </c>
    </row>
    <row r="36" spans="1:5" ht="15">
      <c r="A36" s="14" t="s">
        <v>26</v>
      </c>
      <c r="B36" s="14">
        <v>884735</v>
      </c>
      <c r="C36" s="14">
        <f>'Attach B-Adj to Base GF'!F35+'Attach B-Adj to Base GF'!C35</f>
        <v>0</v>
      </c>
      <c r="D36" s="14">
        <f>'Attach C-Prelim New GF'!Q34</f>
        <v>69200</v>
      </c>
      <c r="E36" s="14">
        <f t="shared" si="1"/>
        <v>953935</v>
      </c>
    </row>
    <row r="37" spans="1:5" ht="15">
      <c r="A37" s="14" t="s">
        <v>27</v>
      </c>
      <c r="B37" s="14">
        <v>2536619</v>
      </c>
      <c r="C37" s="14">
        <f>'Attach B-Adj to Base GF'!F36+'Attach B-Adj to Base GF'!C36</f>
        <v>0</v>
      </c>
      <c r="D37" s="14">
        <f>'Attach C-Prelim New GF'!Q35</f>
        <v>0</v>
      </c>
      <c r="E37" s="14">
        <f t="shared" si="1"/>
        <v>2536619</v>
      </c>
    </row>
    <row r="38" spans="1:5" ht="15">
      <c r="A38" s="14" t="s">
        <v>28</v>
      </c>
      <c r="B38" s="14">
        <v>11800</v>
      </c>
      <c r="C38" s="14">
        <f>'Attach B-Adj to Base GF'!F37+'Attach B-Adj to Base GF'!C37</f>
        <v>0</v>
      </c>
      <c r="D38" s="14">
        <f>'Attach C-Prelim New GF'!Q36</f>
        <v>0</v>
      </c>
      <c r="E38" s="14">
        <f t="shared" si="1"/>
        <v>11800</v>
      </c>
    </row>
    <row r="39" spans="1:5" ht="15">
      <c r="A39" s="14" t="s">
        <v>29</v>
      </c>
      <c r="B39" s="14">
        <v>117235376</v>
      </c>
      <c r="C39" s="51">
        <f>'Attach B-Adj to Base GF'!F38+'Attach B-Adj to Base GF'!C38</f>
        <v>4310000</v>
      </c>
      <c r="D39" s="14">
        <f>'Attach C-Prelim New GF'!Q37</f>
        <v>58582000</v>
      </c>
      <c r="E39" s="14">
        <f t="shared" si="1"/>
        <v>180127376</v>
      </c>
    </row>
    <row r="40" spans="1:5" ht="15">
      <c r="A40" s="14" t="s">
        <v>42</v>
      </c>
      <c r="B40" s="14">
        <v>296316000</v>
      </c>
      <c r="C40" s="14">
        <f>'Attach B-Adj to Base GF'!F39+'Attach B-Adj to Base GF'!C39</f>
        <v>7268000</v>
      </c>
      <c r="D40" s="14">
        <f>'Attach C-Prelim New GF'!Q38</f>
        <v>0</v>
      </c>
      <c r="E40" s="14">
        <f t="shared" si="1"/>
        <v>303584000</v>
      </c>
    </row>
    <row r="41" ht="8.25" customHeight="1"/>
    <row r="42" spans="1:6" s="48" customFormat="1" ht="15.75" thickBot="1">
      <c r="A42" s="10" t="s">
        <v>30</v>
      </c>
      <c r="B42" s="10">
        <v>2695755000.16</v>
      </c>
      <c r="C42" s="10">
        <f>SUM(C33:C40)</f>
        <v>73531000</v>
      </c>
      <c r="D42" s="10">
        <f>SUM(D33:D40)</f>
        <v>119467000</v>
      </c>
      <c r="E42" s="10">
        <f>SUM(E33:E40)</f>
        <v>2888753000.16</v>
      </c>
      <c r="F42" s="59"/>
    </row>
    <row r="44" spans="5:9" ht="15">
      <c r="E44" s="47"/>
      <c r="F44" s="47"/>
      <c r="G44" s="47"/>
      <c r="H44" s="47"/>
      <c r="I44" s="47"/>
    </row>
    <row r="45" spans="5:11" ht="15">
      <c r="E45" s="47"/>
      <c r="F45" s="47"/>
      <c r="G45" s="47"/>
      <c r="H45" s="47"/>
      <c r="I45" s="47"/>
      <c r="K45" s="48"/>
    </row>
    <row r="46" spans="5:9" ht="15">
      <c r="E46" s="47"/>
      <c r="F46" s="47"/>
      <c r="G46" s="47"/>
      <c r="H46" s="47"/>
      <c r="I46" s="47"/>
    </row>
    <row r="47" spans="5:9" ht="15">
      <c r="E47" s="47"/>
      <c r="F47" s="47"/>
      <c r="G47" s="47"/>
      <c r="H47" s="47"/>
      <c r="I47" s="47"/>
    </row>
    <row r="48" spans="5:9" ht="15">
      <c r="E48" s="47"/>
      <c r="F48" s="47"/>
      <c r="G48" s="47"/>
      <c r="H48" s="47"/>
      <c r="I48" s="47"/>
    </row>
    <row r="49" spans="5:9" ht="15">
      <c r="E49" s="47"/>
      <c r="F49" s="47"/>
      <c r="G49" s="47"/>
      <c r="H49" s="47"/>
      <c r="I49" s="47"/>
    </row>
  </sheetData>
  <sheetProtection/>
  <mergeCells count="1">
    <mergeCell ref="B5:E5"/>
  </mergeCells>
  <printOptions horizontalCentered="1"/>
  <pageMargins left="0.7" right="0.7" top="0.25" bottom="0.5" header="0.3" footer="0.3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1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0" sqref="A10"/>
    </sheetView>
  </sheetViews>
  <sheetFormatPr defaultColWidth="8.8515625" defaultRowHeight="15"/>
  <cols>
    <col min="1" max="1" width="40.7109375" style="14" bestFit="1" customWidth="1"/>
    <col min="2" max="2" width="4.7109375" style="14" customWidth="1"/>
    <col min="3" max="3" width="14.7109375" style="14" customWidth="1"/>
    <col min="4" max="4" width="4.7109375" style="14" customWidth="1"/>
    <col min="5" max="5" width="2.7109375" style="14" customWidth="1"/>
    <col min="6" max="6" width="11.140625" style="14" bestFit="1" customWidth="1"/>
    <col min="7" max="7" width="2.7109375" style="14" customWidth="1"/>
    <col min="8" max="8" width="13.421875" style="14" customWidth="1"/>
    <col min="9" max="9" width="8.8515625" style="14" customWidth="1"/>
    <col min="10" max="10" width="13.421875" style="14" customWidth="1"/>
    <col min="11" max="16384" width="8.8515625" style="14" customWidth="1"/>
  </cols>
  <sheetData>
    <row r="1" spans="1:2" ht="18.75">
      <c r="A1" s="3" t="s">
        <v>45</v>
      </c>
      <c r="B1" s="3"/>
    </row>
    <row r="2" spans="1:2" ht="18" customHeight="1">
      <c r="A2" s="3" t="s">
        <v>65</v>
      </c>
      <c r="B2" s="3"/>
    </row>
    <row r="3" spans="1:2" ht="18" customHeight="1">
      <c r="A3" s="3"/>
      <c r="B3" s="3"/>
    </row>
    <row r="4" spans="3:8" ht="15">
      <c r="C4" s="46">
        <v>-1</v>
      </c>
      <c r="F4" s="46">
        <v>-2</v>
      </c>
      <c r="H4" s="46">
        <v>-3</v>
      </c>
    </row>
    <row r="5" spans="1:8" ht="29.25" customHeight="1" thickBot="1">
      <c r="A5" s="13"/>
      <c r="B5" s="70" t="s">
        <v>74</v>
      </c>
      <c r="C5" s="70"/>
      <c r="D5" s="70"/>
      <c r="E5" s="25"/>
      <c r="F5" s="38" t="s">
        <v>0</v>
      </c>
      <c r="G5" s="38"/>
      <c r="H5" s="38" t="s">
        <v>48</v>
      </c>
    </row>
    <row r="6" spans="1:8" ht="24.75">
      <c r="A6" s="13"/>
      <c r="B6" s="13"/>
      <c r="C6" s="67" t="s">
        <v>84</v>
      </c>
      <c r="D6" s="15"/>
      <c r="E6" s="15"/>
      <c r="F6" s="15"/>
      <c r="G6" s="15"/>
      <c r="H6" s="42" t="s">
        <v>56</v>
      </c>
    </row>
    <row r="7" spans="1:8" ht="6" customHeight="1">
      <c r="A7" s="13"/>
      <c r="B7" s="13"/>
      <c r="C7" s="15"/>
      <c r="D7" s="15"/>
      <c r="E7" s="15"/>
      <c r="F7" s="15"/>
      <c r="G7" s="15"/>
      <c r="H7" s="18"/>
    </row>
    <row r="8" spans="1:10" ht="15">
      <c r="A8" s="14" t="s">
        <v>1</v>
      </c>
      <c r="C8" s="48">
        <v>1225000</v>
      </c>
      <c r="D8" s="48"/>
      <c r="E8" s="48"/>
      <c r="F8" s="48"/>
      <c r="G8" s="48"/>
      <c r="H8" s="48">
        <f>C8+F8</f>
        <v>1225000</v>
      </c>
      <c r="J8" s="61"/>
    </row>
    <row r="9" spans="1:10" ht="15">
      <c r="A9" s="14" t="s">
        <v>2</v>
      </c>
      <c r="C9" s="14">
        <v>1155000</v>
      </c>
      <c r="H9" s="14">
        <f aca="true" t="shared" si="0" ref="H9:H30">C9+F9</f>
        <v>1155000</v>
      </c>
      <c r="J9" s="61"/>
    </row>
    <row r="10" spans="1:10" ht="15">
      <c r="A10" s="14" t="s">
        <v>3</v>
      </c>
      <c r="C10" s="14">
        <v>2318000</v>
      </c>
      <c r="H10" s="14">
        <f t="shared" si="0"/>
        <v>2318000</v>
      </c>
      <c r="J10" s="61"/>
    </row>
    <row r="11" spans="1:10" ht="15">
      <c r="A11" s="14" t="s">
        <v>4</v>
      </c>
      <c r="C11" s="14">
        <v>1526000</v>
      </c>
      <c r="H11" s="14">
        <f t="shared" si="0"/>
        <v>1526000</v>
      </c>
      <c r="J11" s="61"/>
    </row>
    <row r="12" spans="1:10" ht="15">
      <c r="A12" s="14" t="s">
        <v>5</v>
      </c>
      <c r="C12" s="14">
        <v>2061000</v>
      </c>
      <c r="H12" s="14">
        <f t="shared" si="0"/>
        <v>2061000</v>
      </c>
      <c r="J12" s="61"/>
    </row>
    <row r="13" spans="1:10" ht="15">
      <c r="A13" s="14" t="s">
        <v>6</v>
      </c>
      <c r="C13" s="14">
        <v>2883000</v>
      </c>
      <c r="H13" s="14">
        <f t="shared" si="0"/>
        <v>2883000</v>
      </c>
      <c r="J13" s="61"/>
    </row>
    <row r="14" spans="1:10" ht="15">
      <c r="A14" s="14" t="s">
        <v>7</v>
      </c>
      <c r="C14" s="14">
        <v>4217000</v>
      </c>
      <c r="F14" s="14">
        <v>25000</v>
      </c>
      <c r="H14" s="14">
        <f t="shared" si="0"/>
        <v>4242000</v>
      </c>
      <c r="J14" s="61"/>
    </row>
    <row r="15" spans="1:10" ht="15">
      <c r="A15" s="14" t="s">
        <v>8</v>
      </c>
      <c r="C15" s="14">
        <v>1499000</v>
      </c>
      <c r="H15" s="14">
        <f t="shared" si="0"/>
        <v>1499000</v>
      </c>
      <c r="J15" s="61"/>
    </row>
    <row r="16" spans="1:10" ht="15">
      <c r="A16" s="14" t="s">
        <v>9</v>
      </c>
      <c r="C16" s="14">
        <v>4555000</v>
      </c>
      <c r="H16" s="14">
        <f t="shared" si="0"/>
        <v>4555000</v>
      </c>
      <c r="J16" s="61"/>
    </row>
    <row r="17" spans="1:10" ht="15">
      <c r="A17" s="14" t="s">
        <v>10</v>
      </c>
      <c r="C17" s="14">
        <v>2706000</v>
      </c>
      <c r="H17" s="14">
        <f t="shared" si="0"/>
        <v>2706000</v>
      </c>
      <c r="J17" s="61"/>
    </row>
    <row r="18" spans="1:10" ht="15">
      <c r="A18" s="14" t="s">
        <v>11</v>
      </c>
      <c r="C18" s="14">
        <v>404000</v>
      </c>
      <c r="H18" s="14">
        <f t="shared" si="0"/>
        <v>404000</v>
      </c>
      <c r="J18" s="61"/>
    </row>
    <row r="19" spans="1:10" ht="15">
      <c r="A19" s="14" t="s">
        <v>12</v>
      </c>
      <c r="C19" s="14">
        <v>1064000</v>
      </c>
      <c r="H19" s="14">
        <f t="shared" si="0"/>
        <v>1064000</v>
      </c>
      <c r="J19" s="61"/>
    </row>
    <row r="20" spans="1:10" ht="15">
      <c r="A20" s="14" t="s">
        <v>13</v>
      </c>
      <c r="C20" s="14">
        <v>4458000</v>
      </c>
      <c r="H20" s="14">
        <f t="shared" si="0"/>
        <v>4458000</v>
      </c>
      <c r="J20" s="61"/>
    </row>
    <row r="21" spans="1:10" ht="15">
      <c r="A21" s="14" t="s">
        <v>14</v>
      </c>
      <c r="C21" s="14">
        <v>2944000</v>
      </c>
      <c r="H21" s="14">
        <f t="shared" si="0"/>
        <v>2944000</v>
      </c>
      <c r="J21" s="61"/>
    </row>
    <row r="22" spans="1:10" ht="15">
      <c r="A22" s="14" t="s">
        <v>15</v>
      </c>
      <c r="C22" s="14">
        <v>3226000</v>
      </c>
      <c r="H22" s="14">
        <f t="shared" si="0"/>
        <v>3226000</v>
      </c>
      <c r="J22" s="61"/>
    </row>
    <row r="23" spans="1:10" ht="15">
      <c r="A23" s="14" t="s">
        <v>16</v>
      </c>
      <c r="C23" s="14">
        <v>2406000</v>
      </c>
      <c r="H23" s="14">
        <f t="shared" si="0"/>
        <v>2406000</v>
      </c>
      <c r="J23" s="61"/>
    </row>
    <row r="24" spans="1:10" ht="15">
      <c r="A24" s="14" t="s">
        <v>17</v>
      </c>
      <c r="C24" s="14">
        <v>4248000</v>
      </c>
      <c r="H24" s="14">
        <f t="shared" si="0"/>
        <v>4248000</v>
      </c>
      <c r="J24" s="61"/>
    </row>
    <row r="25" spans="1:10" ht="15">
      <c r="A25" s="14" t="s">
        <v>18</v>
      </c>
      <c r="C25" s="14">
        <v>4052000</v>
      </c>
      <c r="H25" s="14">
        <f t="shared" si="0"/>
        <v>4052000</v>
      </c>
      <c r="J25" s="61"/>
    </row>
    <row r="26" spans="1:10" ht="15">
      <c r="A26" s="14" t="s">
        <v>19</v>
      </c>
      <c r="C26" s="14">
        <v>3867000</v>
      </c>
      <c r="H26" s="14">
        <f t="shared" si="0"/>
        <v>3867000</v>
      </c>
      <c r="J26" s="61"/>
    </row>
    <row r="27" spans="1:10" ht="15">
      <c r="A27" s="14" t="s">
        <v>20</v>
      </c>
      <c r="C27" s="14">
        <v>3478000</v>
      </c>
      <c r="H27" s="14">
        <f t="shared" si="0"/>
        <v>3478000</v>
      </c>
      <c r="J27" s="61"/>
    </row>
    <row r="28" spans="1:10" ht="15">
      <c r="A28" s="14" t="s">
        <v>21</v>
      </c>
      <c r="C28" s="14">
        <v>1549000</v>
      </c>
      <c r="F28" s="14">
        <v>300000</v>
      </c>
      <c r="H28" s="14">
        <f t="shared" si="0"/>
        <v>1849000</v>
      </c>
      <c r="J28" s="61"/>
    </row>
    <row r="29" spans="1:10" ht="15">
      <c r="A29" s="14" t="s">
        <v>22</v>
      </c>
      <c r="C29" s="14">
        <v>1345000</v>
      </c>
      <c r="H29" s="14">
        <f t="shared" si="0"/>
        <v>1345000</v>
      </c>
      <c r="J29" s="61"/>
    </row>
    <row r="30" spans="1:10" ht="15">
      <c r="A30" s="14" t="s">
        <v>23</v>
      </c>
      <c r="C30" s="14">
        <v>1212000</v>
      </c>
      <c r="H30" s="14">
        <f t="shared" si="0"/>
        <v>1212000</v>
      </c>
      <c r="J30" s="61"/>
    </row>
    <row r="31" ht="6" customHeight="1"/>
    <row r="32" spans="1:8" ht="15">
      <c r="A32" s="6" t="s">
        <v>24</v>
      </c>
      <c r="B32" s="6"/>
      <c r="C32" s="11">
        <f>SUM(C8:C31)</f>
        <v>58398000</v>
      </c>
      <c r="D32" s="11"/>
      <c r="E32" s="11"/>
      <c r="F32" s="11">
        <f>SUM(F8:F30)</f>
        <v>325000</v>
      </c>
      <c r="G32" s="11"/>
      <c r="H32" s="6">
        <f>SUM(H8:H30)</f>
        <v>58723000</v>
      </c>
    </row>
    <row r="33" ht="6" customHeight="1"/>
    <row r="34" spans="1:8" ht="15">
      <c r="A34" s="14" t="s">
        <v>25</v>
      </c>
      <c r="C34" s="14">
        <v>1239000</v>
      </c>
      <c r="F34" s="14">
        <f>ROUND(1003000+266761+50000+141000+84000+407950+10452+7252+20422,-3)</f>
        <v>1991000</v>
      </c>
      <c r="H34" s="14">
        <f>C34+F34</f>
        <v>3230000</v>
      </c>
    </row>
    <row r="35" ht="15">
      <c r="A35" s="14" t="s">
        <v>26</v>
      </c>
    </row>
    <row r="36" ht="15">
      <c r="A36" s="14" t="s">
        <v>27</v>
      </c>
    </row>
    <row r="37" ht="15">
      <c r="A37" s="14" t="s">
        <v>28</v>
      </c>
    </row>
    <row r="38" spans="1:8" ht="15">
      <c r="A38" s="14" t="s">
        <v>29</v>
      </c>
      <c r="C38" s="14">
        <f>66263000-C34-C32</f>
        <v>6626000</v>
      </c>
      <c r="F38" s="14">
        <f>ROUND((-25000-300000-1990837)/1000,0)*1000</f>
        <v>-2316000</v>
      </c>
      <c r="H38" s="14">
        <f>C38+F38</f>
        <v>4310000</v>
      </c>
    </row>
    <row r="39" spans="1:8" ht="15">
      <c r="A39" s="14" t="s">
        <v>42</v>
      </c>
      <c r="F39" s="14">
        <v>7268000</v>
      </c>
      <c r="H39" s="14">
        <f>C39+F39</f>
        <v>7268000</v>
      </c>
    </row>
    <row r="40" ht="9" customHeight="1"/>
    <row r="41" spans="1:8" ht="15.75" thickBot="1">
      <c r="A41" s="4" t="s">
        <v>30</v>
      </c>
      <c r="B41" s="4"/>
      <c r="C41" s="10">
        <f>SUM(C32:C38)</f>
        <v>66263000</v>
      </c>
      <c r="D41" s="10"/>
      <c r="E41" s="10"/>
      <c r="F41" s="10">
        <f>SUM(F32:F39)</f>
        <v>7268000</v>
      </c>
      <c r="G41" s="10"/>
      <c r="H41" s="10">
        <f>SUM(H32:H40)</f>
        <v>73531000</v>
      </c>
    </row>
    <row r="42" ht="9" customHeight="1"/>
  </sheetData>
  <sheetProtection/>
  <mergeCells count="1">
    <mergeCell ref="B5:D5"/>
  </mergeCells>
  <printOptions horizontalCentered="1"/>
  <pageMargins left="0.7" right="0.7" top="0.25" bottom="0.5" header="0.3" footer="0.3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8"/>
  <sheetViews>
    <sheetView zoomScalePageLayoutView="0" workbookViewId="0" topLeftCell="A1">
      <pane xSplit="1" ySplit="6" topLeftCell="B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N43" sqref="N43"/>
    </sheetView>
  </sheetViews>
  <sheetFormatPr defaultColWidth="8.8515625" defaultRowHeight="15"/>
  <cols>
    <col min="1" max="1" width="34.00390625" style="14" customWidth="1"/>
    <col min="2" max="2" width="11.7109375" style="14" bestFit="1" customWidth="1"/>
    <col min="3" max="3" width="10.7109375" style="14" bestFit="1" customWidth="1"/>
    <col min="4" max="4" width="11.7109375" style="14" bestFit="1" customWidth="1"/>
    <col min="5" max="5" width="2.7109375" style="14" customWidth="1"/>
    <col min="6" max="6" width="12.00390625" style="14" customWidth="1"/>
    <col min="7" max="7" width="2.7109375" style="14" customWidth="1"/>
    <col min="8" max="8" width="13.7109375" style="14" customWidth="1"/>
    <col min="9" max="9" width="2.7109375" style="14" customWidth="1"/>
    <col min="10" max="10" width="13.7109375" style="14" customWidth="1"/>
    <col min="11" max="11" width="2.7109375" style="14" customWidth="1"/>
    <col min="12" max="12" width="13.7109375" style="14" customWidth="1"/>
    <col min="13" max="13" width="2.7109375" style="14" customWidth="1"/>
    <col min="14" max="14" width="17.140625" style="14" customWidth="1"/>
    <col min="15" max="15" width="15.00390625" style="14" customWidth="1"/>
    <col min="16" max="16" width="2.7109375" style="14" customWidth="1"/>
    <col min="17" max="17" width="14.00390625" style="14" customWidth="1"/>
    <col min="18" max="18" width="2.7109375" style="14" customWidth="1"/>
    <col min="19" max="16384" width="8.8515625" style="14" customWidth="1"/>
  </cols>
  <sheetData>
    <row r="1" ht="18.75">
      <c r="A1" s="9" t="s">
        <v>47</v>
      </c>
    </row>
    <row r="2" ht="18.75">
      <c r="A2" s="9" t="s">
        <v>66</v>
      </c>
    </row>
    <row r="3" spans="2:17" ht="15">
      <c r="B3" s="46">
        <v>-1</v>
      </c>
      <c r="C3" s="46">
        <v>-2</v>
      </c>
      <c r="D3" s="46">
        <v>-3</v>
      </c>
      <c r="E3" s="47"/>
      <c r="F3" s="46"/>
      <c r="G3" s="46"/>
      <c r="H3" s="46">
        <v>-4</v>
      </c>
      <c r="I3" s="46"/>
      <c r="J3" s="46">
        <v>-5</v>
      </c>
      <c r="K3" s="46"/>
      <c r="L3" s="46">
        <v>-6</v>
      </c>
      <c r="M3" s="46"/>
      <c r="N3" s="46">
        <v>-7</v>
      </c>
      <c r="O3" s="46">
        <v>-8</v>
      </c>
      <c r="P3" s="47"/>
      <c r="Q3" s="46">
        <v>-9</v>
      </c>
    </row>
    <row r="4" spans="2:15" s="8" customFormat="1" ht="15.75" thickBot="1">
      <c r="B4" s="71" t="s">
        <v>34</v>
      </c>
      <c r="C4" s="71"/>
      <c r="D4" s="71"/>
      <c r="E4" s="20"/>
      <c r="F4" s="5"/>
      <c r="G4" s="35"/>
      <c r="H4" s="72" t="s">
        <v>35</v>
      </c>
      <c r="I4" s="72"/>
      <c r="J4" s="72"/>
      <c r="K4" s="72"/>
      <c r="L4" s="72"/>
      <c r="M4" s="45"/>
      <c r="N4" s="39" t="s">
        <v>54</v>
      </c>
      <c r="O4" s="23" t="s">
        <v>39</v>
      </c>
    </row>
    <row r="5" spans="2:17" ht="81.75">
      <c r="B5" s="13" t="s">
        <v>31</v>
      </c>
      <c r="C5" s="13" t="s">
        <v>32</v>
      </c>
      <c r="D5" s="13" t="s">
        <v>59</v>
      </c>
      <c r="E5" s="13"/>
      <c r="F5" s="32" t="s">
        <v>51</v>
      </c>
      <c r="G5" s="13"/>
      <c r="H5" s="1" t="s">
        <v>75</v>
      </c>
      <c r="I5" s="13"/>
      <c r="J5" s="13" t="s">
        <v>76</v>
      </c>
      <c r="K5" s="21"/>
      <c r="L5" s="13" t="s">
        <v>77</v>
      </c>
      <c r="M5" s="13"/>
      <c r="N5" s="13" t="s">
        <v>69</v>
      </c>
      <c r="O5" s="13" t="s">
        <v>52</v>
      </c>
      <c r="P5" s="21"/>
      <c r="Q5" s="15" t="s">
        <v>86</v>
      </c>
    </row>
    <row r="6" spans="2:17" ht="24.75">
      <c r="B6" s="13"/>
      <c r="C6" s="13"/>
      <c r="D6" s="13"/>
      <c r="E6" s="13"/>
      <c r="G6" s="31"/>
      <c r="H6" s="42" t="s">
        <v>60</v>
      </c>
      <c r="I6" s="31"/>
      <c r="J6" s="13"/>
      <c r="K6" s="13"/>
      <c r="L6" s="13"/>
      <c r="M6" s="13"/>
      <c r="N6" s="52"/>
      <c r="Q6" s="42" t="s">
        <v>55</v>
      </c>
    </row>
    <row r="7" spans="1:17" ht="15">
      <c r="A7" s="14" t="s">
        <v>1</v>
      </c>
      <c r="B7" s="48">
        <v>235000</v>
      </c>
      <c r="C7" s="48">
        <v>0</v>
      </c>
      <c r="D7" s="48"/>
      <c r="E7" s="48"/>
      <c r="F7" s="49">
        <v>72</v>
      </c>
      <c r="G7" s="49"/>
      <c r="H7" s="50">
        <f>ROUND(4732*F7,-3)</f>
        <v>341000</v>
      </c>
      <c r="I7" s="48"/>
      <c r="J7" s="48">
        <v>718000</v>
      </c>
      <c r="K7" s="48"/>
      <c r="L7" s="48"/>
      <c r="M7" s="48"/>
      <c r="N7" s="48">
        <v>-85000</v>
      </c>
      <c r="O7" s="48">
        <v>17700</v>
      </c>
      <c r="P7" s="48"/>
      <c r="Q7" s="48">
        <f aca="true" t="shared" si="0" ref="Q7:Q29">B7+C7+D7+H7+J7+O7+N7+L7</f>
        <v>1226700</v>
      </c>
    </row>
    <row r="8" spans="1:17" ht="15">
      <c r="A8" s="14" t="s">
        <v>2</v>
      </c>
      <c r="B8" s="14">
        <v>187000</v>
      </c>
      <c r="C8" s="14">
        <v>793000</v>
      </c>
      <c r="F8" s="49">
        <v>100</v>
      </c>
      <c r="G8" s="49"/>
      <c r="H8" s="51">
        <f>ROUND(4732*F8,-3)</f>
        <v>473000</v>
      </c>
      <c r="J8" s="14">
        <v>724000</v>
      </c>
      <c r="N8" s="14">
        <v>-87000</v>
      </c>
      <c r="O8" s="14">
        <v>-2800</v>
      </c>
      <c r="Q8" s="14">
        <f t="shared" si="0"/>
        <v>2087200</v>
      </c>
    </row>
    <row r="9" spans="1:17" ht="15">
      <c r="A9" s="14" t="s">
        <v>3</v>
      </c>
      <c r="B9" s="14">
        <v>490000</v>
      </c>
      <c r="C9" s="14">
        <v>1052000</v>
      </c>
      <c r="F9" s="49">
        <v>146</v>
      </c>
      <c r="G9" s="49"/>
      <c r="H9" s="51">
        <f aca="true" t="shared" si="1" ref="H9:H29">ROUND(4732*F9,-3)</f>
        <v>691000</v>
      </c>
      <c r="J9" s="14">
        <v>1186000</v>
      </c>
      <c r="N9" s="14">
        <v>-165000</v>
      </c>
      <c r="O9" s="14">
        <v>-17000</v>
      </c>
      <c r="Q9" s="14">
        <f t="shared" si="0"/>
        <v>3237000</v>
      </c>
    </row>
    <row r="10" spans="1:17" ht="15">
      <c r="A10" s="14" t="s">
        <v>4</v>
      </c>
      <c r="B10" s="14">
        <v>282000</v>
      </c>
      <c r="C10" s="14">
        <v>0</v>
      </c>
      <c r="F10" s="49">
        <v>199</v>
      </c>
      <c r="G10" s="49"/>
      <c r="H10" s="51">
        <f t="shared" si="1"/>
        <v>942000</v>
      </c>
      <c r="J10" s="14">
        <v>925000</v>
      </c>
      <c r="N10" s="14">
        <v>-109000</v>
      </c>
      <c r="O10" s="14">
        <v>49700</v>
      </c>
      <c r="Q10" s="14">
        <f t="shared" si="0"/>
        <v>2089700</v>
      </c>
    </row>
    <row r="11" spans="1:17" ht="15">
      <c r="A11" s="14" t="s">
        <v>5</v>
      </c>
      <c r="B11" s="14">
        <v>376000</v>
      </c>
      <c r="C11" s="14">
        <v>705000</v>
      </c>
      <c r="F11" s="49">
        <v>118</v>
      </c>
      <c r="G11" s="49"/>
      <c r="H11" s="51">
        <f t="shared" si="1"/>
        <v>558000</v>
      </c>
      <c r="J11" s="14">
        <v>1252000</v>
      </c>
      <c r="N11" s="14">
        <v>-137000</v>
      </c>
      <c r="O11" s="14">
        <v>-7700</v>
      </c>
      <c r="Q11" s="14">
        <f t="shared" si="0"/>
        <v>2746300</v>
      </c>
    </row>
    <row r="12" spans="1:17" ht="15">
      <c r="A12" s="14" t="s">
        <v>6</v>
      </c>
      <c r="B12" s="14">
        <v>566000</v>
      </c>
      <c r="C12" s="14">
        <v>13000</v>
      </c>
      <c r="F12" s="49">
        <v>273</v>
      </c>
      <c r="G12" s="49"/>
      <c r="H12" s="51">
        <f t="shared" si="1"/>
        <v>1292000</v>
      </c>
      <c r="J12" s="14">
        <v>1454000</v>
      </c>
      <c r="N12" s="14">
        <v>-204000</v>
      </c>
      <c r="O12" s="14">
        <v>34900</v>
      </c>
      <c r="Q12" s="14">
        <f t="shared" si="0"/>
        <v>3155900</v>
      </c>
    </row>
    <row r="13" spans="1:17" ht="15">
      <c r="A13" s="14" t="s">
        <v>7</v>
      </c>
      <c r="B13" s="14">
        <v>814000</v>
      </c>
      <c r="C13" s="14">
        <v>743000</v>
      </c>
      <c r="F13" s="49">
        <v>209</v>
      </c>
      <c r="G13" s="49"/>
      <c r="H13" s="51">
        <f t="shared" si="1"/>
        <v>989000</v>
      </c>
      <c r="J13" s="14">
        <v>2133000</v>
      </c>
      <c r="N13" s="14">
        <v>-298000</v>
      </c>
      <c r="O13" s="14">
        <v>-15500</v>
      </c>
      <c r="Q13" s="14">
        <f t="shared" si="0"/>
        <v>4365500</v>
      </c>
    </row>
    <row r="14" spans="1:17" ht="15">
      <c r="A14" s="14" t="s">
        <v>8</v>
      </c>
      <c r="B14" s="14">
        <v>312000</v>
      </c>
      <c r="C14" s="14">
        <v>49000</v>
      </c>
      <c r="F14" s="49">
        <v>36</v>
      </c>
      <c r="G14" s="49"/>
      <c r="H14" s="51">
        <f t="shared" si="1"/>
        <v>170000</v>
      </c>
      <c r="J14" s="14">
        <v>904000</v>
      </c>
      <c r="N14" s="14">
        <v>-100000</v>
      </c>
      <c r="O14" s="14">
        <v>2500</v>
      </c>
      <c r="Q14" s="14">
        <f t="shared" si="0"/>
        <v>1337500</v>
      </c>
    </row>
    <row r="15" spans="1:17" ht="15">
      <c r="A15" s="14" t="s">
        <v>9</v>
      </c>
      <c r="B15" s="14">
        <v>798000</v>
      </c>
      <c r="C15" s="14">
        <v>0</v>
      </c>
      <c r="F15" s="49">
        <v>209</v>
      </c>
      <c r="G15" s="49"/>
      <c r="H15" s="51">
        <f t="shared" si="1"/>
        <v>989000</v>
      </c>
      <c r="J15" s="14">
        <v>2387000</v>
      </c>
      <c r="N15" s="14">
        <v>-312000</v>
      </c>
      <c r="O15" s="14">
        <v>4300</v>
      </c>
      <c r="Q15" s="14">
        <f t="shared" si="0"/>
        <v>3866300</v>
      </c>
    </row>
    <row r="16" spans="1:17" ht="15">
      <c r="A16" s="14" t="s">
        <v>10</v>
      </c>
      <c r="B16" s="14">
        <v>468000</v>
      </c>
      <c r="C16" s="14">
        <v>0</v>
      </c>
      <c r="F16" s="49">
        <v>169</v>
      </c>
      <c r="G16" s="49"/>
      <c r="H16" s="51">
        <f t="shared" si="1"/>
        <v>800000</v>
      </c>
      <c r="J16" s="14">
        <v>1415000</v>
      </c>
      <c r="N16" s="14">
        <v>-194000</v>
      </c>
      <c r="O16" s="14">
        <v>50200</v>
      </c>
      <c r="Q16" s="14">
        <f t="shared" si="0"/>
        <v>2539200</v>
      </c>
    </row>
    <row r="17" spans="1:17" ht="15">
      <c r="A17" s="14" t="s">
        <v>11</v>
      </c>
      <c r="B17" s="14">
        <v>67000</v>
      </c>
      <c r="C17" s="14">
        <v>0</v>
      </c>
      <c r="F17" s="49">
        <v>13</v>
      </c>
      <c r="G17" s="49"/>
      <c r="H17" s="51">
        <f t="shared" si="1"/>
        <v>62000</v>
      </c>
      <c r="J17" s="14">
        <v>269000</v>
      </c>
      <c r="N17" s="14">
        <v>-33000</v>
      </c>
      <c r="O17" s="14">
        <v>-4300</v>
      </c>
      <c r="Q17" s="14">
        <f t="shared" si="0"/>
        <v>360700</v>
      </c>
    </row>
    <row r="18" spans="1:17" ht="15">
      <c r="A18" s="14" t="s">
        <v>12</v>
      </c>
      <c r="B18" s="14">
        <v>210000</v>
      </c>
      <c r="C18" s="14">
        <v>603000</v>
      </c>
      <c r="F18" s="49">
        <v>138</v>
      </c>
      <c r="G18" s="49"/>
      <c r="H18" s="51">
        <f t="shared" si="1"/>
        <v>653000</v>
      </c>
      <c r="J18" s="14">
        <v>696000</v>
      </c>
      <c r="N18" s="14">
        <v>-81000</v>
      </c>
      <c r="O18" s="14">
        <v>3600</v>
      </c>
      <c r="Q18" s="14">
        <f t="shared" si="0"/>
        <v>2084600</v>
      </c>
    </row>
    <row r="19" spans="1:17" ht="15">
      <c r="A19" s="14" t="s">
        <v>13</v>
      </c>
      <c r="B19" s="14">
        <v>832000</v>
      </c>
      <c r="C19" s="14">
        <v>0</v>
      </c>
      <c r="F19" s="49">
        <v>196</v>
      </c>
      <c r="G19" s="49"/>
      <c r="H19" s="51">
        <f t="shared" si="1"/>
        <v>927000</v>
      </c>
      <c r="J19" s="14">
        <v>2444000</v>
      </c>
      <c r="N19" s="14">
        <v>-294000</v>
      </c>
      <c r="O19" s="14">
        <v>10400</v>
      </c>
      <c r="Q19" s="14">
        <f t="shared" si="0"/>
        <v>3919400</v>
      </c>
    </row>
    <row r="20" spans="1:17" ht="15">
      <c r="A20" s="14" t="s">
        <v>14</v>
      </c>
      <c r="B20" s="14">
        <v>549000</v>
      </c>
      <c r="C20" s="14">
        <v>0</v>
      </c>
      <c r="F20" s="49">
        <v>213</v>
      </c>
      <c r="G20" s="49"/>
      <c r="H20" s="51">
        <f t="shared" si="1"/>
        <v>1008000</v>
      </c>
      <c r="J20" s="14">
        <v>1549000</v>
      </c>
      <c r="N20" s="14">
        <v>-211000</v>
      </c>
      <c r="O20" s="14">
        <v>-2800</v>
      </c>
      <c r="Q20" s="14">
        <f t="shared" si="0"/>
        <v>2892200</v>
      </c>
    </row>
    <row r="21" spans="1:17" ht="15">
      <c r="A21" s="14" t="s">
        <v>15</v>
      </c>
      <c r="B21" s="14">
        <v>622000</v>
      </c>
      <c r="C21" s="14">
        <v>0</v>
      </c>
      <c r="F21" s="49">
        <v>166</v>
      </c>
      <c r="G21" s="49"/>
      <c r="H21" s="51">
        <f t="shared" si="1"/>
        <v>786000</v>
      </c>
      <c r="J21" s="14">
        <v>1629000</v>
      </c>
      <c r="N21" s="14">
        <v>-240000</v>
      </c>
      <c r="O21" s="14">
        <v>24200</v>
      </c>
      <c r="Q21" s="14">
        <f t="shared" si="0"/>
        <v>2821200</v>
      </c>
    </row>
    <row r="22" spans="1:17" ht="15">
      <c r="A22" s="14" t="s">
        <v>16</v>
      </c>
      <c r="B22" s="14">
        <v>441000</v>
      </c>
      <c r="C22" s="14">
        <v>10000</v>
      </c>
      <c r="F22" s="49">
        <v>146</v>
      </c>
      <c r="G22" s="49"/>
      <c r="H22" s="51">
        <f t="shared" si="1"/>
        <v>691000</v>
      </c>
      <c r="J22" s="14">
        <v>1342000</v>
      </c>
      <c r="N22" s="14">
        <v>-157000</v>
      </c>
      <c r="O22" s="14">
        <v>25300</v>
      </c>
      <c r="Q22" s="14">
        <f t="shared" si="0"/>
        <v>2352300</v>
      </c>
    </row>
    <row r="23" spans="1:17" ht="15">
      <c r="A23" s="14" t="s">
        <v>17</v>
      </c>
      <c r="B23" s="14">
        <v>800000</v>
      </c>
      <c r="C23" s="14">
        <v>42000</v>
      </c>
      <c r="F23" s="49">
        <v>198</v>
      </c>
      <c r="G23" s="49"/>
      <c r="H23" s="51">
        <f t="shared" si="1"/>
        <v>937000</v>
      </c>
      <c r="J23" s="14">
        <v>2306000</v>
      </c>
      <c r="N23" s="14">
        <v>-298000</v>
      </c>
      <c r="O23" s="14">
        <v>-56200</v>
      </c>
      <c r="Q23" s="14">
        <f t="shared" si="0"/>
        <v>3730800</v>
      </c>
    </row>
    <row r="24" spans="1:17" ht="15">
      <c r="A24" s="14" t="s">
        <v>18</v>
      </c>
      <c r="B24" s="14">
        <v>732000</v>
      </c>
      <c r="C24" s="14">
        <v>0</v>
      </c>
      <c r="F24" s="49">
        <v>175</v>
      </c>
      <c r="G24" s="49"/>
      <c r="H24" s="51">
        <f t="shared" si="1"/>
        <v>828000</v>
      </c>
      <c r="J24" s="14">
        <v>2085000</v>
      </c>
      <c r="N24" s="14">
        <v>-253000</v>
      </c>
      <c r="O24" s="14">
        <v>-9400</v>
      </c>
      <c r="Q24" s="14">
        <f t="shared" si="0"/>
        <v>3382600</v>
      </c>
    </row>
    <row r="25" spans="1:17" ht="15">
      <c r="A25" s="14" t="s">
        <v>19</v>
      </c>
      <c r="B25" s="14">
        <v>699000</v>
      </c>
      <c r="C25" s="14">
        <v>545000</v>
      </c>
      <c r="F25" s="49">
        <v>163</v>
      </c>
      <c r="G25" s="49"/>
      <c r="H25" s="51">
        <f t="shared" si="1"/>
        <v>771000</v>
      </c>
      <c r="J25" s="14">
        <v>1867000</v>
      </c>
      <c r="N25" s="14">
        <v>-252000</v>
      </c>
      <c r="O25" s="14">
        <v>-25200</v>
      </c>
      <c r="Q25" s="14">
        <f t="shared" si="0"/>
        <v>3604800</v>
      </c>
    </row>
    <row r="26" spans="1:17" ht="15">
      <c r="A26" s="14" t="s">
        <v>20</v>
      </c>
      <c r="B26" s="14">
        <v>621000</v>
      </c>
      <c r="C26" s="14">
        <v>0</v>
      </c>
      <c r="F26" s="49">
        <v>83</v>
      </c>
      <c r="G26" s="49"/>
      <c r="H26" s="51">
        <f t="shared" si="1"/>
        <v>393000</v>
      </c>
      <c r="J26" s="14">
        <v>1807000</v>
      </c>
      <c r="N26" s="14">
        <v>-206000</v>
      </c>
      <c r="O26" s="14">
        <v>-46500</v>
      </c>
      <c r="Q26" s="14">
        <f t="shared" si="0"/>
        <v>2568500</v>
      </c>
    </row>
    <row r="27" spans="1:17" ht="15">
      <c r="A27" s="14" t="s">
        <v>21</v>
      </c>
      <c r="B27" s="14">
        <v>290000</v>
      </c>
      <c r="C27" s="14">
        <v>213000</v>
      </c>
      <c r="F27" s="49">
        <v>252</v>
      </c>
      <c r="G27" s="49"/>
      <c r="H27" s="51">
        <f t="shared" si="1"/>
        <v>1192000</v>
      </c>
      <c r="J27" s="14">
        <v>859000</v>
      </c>
      <c r="N27" s="14">
        <v>-105000</v>
      </c>
      <c r="O27" s="14">
        <v>-9000</v>
      </c>
      <c r="Q27" s="14">
        <f t="shared" si="0"/>
        <v>2440000</v>
      </c>
    </row>
    <row r="28" spans="1:17" ht="15">
      <c r="A28" s="14" t="s">
        <v>22</v>
      </c>
      <c r="B28" s="14">
        <v>259000</v>
      </c>
      <c r="C28" s="14">
        <v>269000</v>
      </c>
      <c r="F28" s="49">
        <v>78</v>
      </c>
      <c r="G28" s="49"/>
      <c r="H28" s="51">
        <f t="shared" si="1"/>
        <v>369000</v>
      </c>
      <c r="J28" s="14">
        <v>724000</v>
      </c>
      <c r="N28" s="14">
        <v>-93000</v>
      </c>
      <c r="O28" s="14">
        <v>-22700</v>
      </c>
      <c r="Q28" s="14">
        <f t="shared" si="0"/>
        <v>1505300</v>
      </c>
    </row>
    <row r="29" spans="1:17" ht="15">
      <c r="A29" s="14" t="s">
        <v>23</v>
      </c>
      <c r="B29" s="14">
        <v>237000</v>
      </c>
      <c r="C29" s="14">
        <v>0</v>
      </c>
      <c r="F29" s="49">
        <v>71</v>
      </c>
      <c r="G29" s="49"/>
      <c r="H29" s="51">
        <f t="shared" si="1"/>
        <v>336000</v>
      </c>
      <c r="J29" s="14">
        <v>608000</v>
      </c>
      <c r="N29" s="14">
        <v>-86000</v>
      </c>
      <c r="O29" s="14">
        <v>17100</v>
      </c>
      <c r="Q29" s="14">
        <f t="shared" si="0"/>
        <v>1112100</v>
      </c>
    </row>
    <row r="30" spans="6:8" ht="6" customHeight="1">
      <c r="F30" s="49"/>
      <c r="G30" s="49"/>
      <c r="H30" s="51"/>
    </row>
    <row r="31" spans="1:17" ht="15">
      <c r="A31" s="6" t="s">
        <v>24</v>
      </c>
      <c r="B31" s="11">
        <f aca="true" t="shared" si="2" ref="B31:O31">SUM(B7:B29)</f>
        <v>10887000</v>
      </c>
      <c r="C31" s="11">
        <f t="shared" si="2"/>
        <v>5037000</v>
      </c>
      <c r="D31" s="11">
        <f t="shared" si="2"/>
        <v>0</v>
      </c>
      <c r="E31" s="11"/>
      <c r="F31" s="22">
        <f>SUM(F7:F30)</f>
        <v>3423</v>
      </c>
      <c r="G31" s="22"/>
      <c r="H31" s="43">
        <f t="shared" si="2"/>
        <v>16198000</v>
      </c>
      <c r="I31" s="11"/>
      <c r="J31" s="11">
        <f t="shared" si="2"/>
        <v>31283000</v>
      </c>
      <c r="K31" s="11"/>
      <c r="L31" s="11">
        <f t="shared" si="2"/>
        <v>0</v>
      </c>
      <c r="M31" s="11"/>
      <c r="N31" s="11">
        <f t="shared" si="2"/>
        <v>-4000000</v>
      </c>
      <c r="O31" s="11">
        <f t="shared" si="2"/>
        <v>20800</v>
      </c>
      <c r="P31" s="11"/>
      <c r="Q31" s="11">
        <f>SUM(Q7:Q29)</f>
        <v>59425800</v>
      </c>
    </row>
    <row r="32" ht="6" customHeight="1">
      <c r="H32" s="51"/>
    </row>
    <row r="33" spans="1:17" ht="15">
      <c r="A33" s="14" t="s">
        <v>25</v>
      </c>
      <c r="B33" s="14">
        <v>153000</v>
      </c>
      <c r="H33" s="51">
        <f>ROUND(4732*F33,-3)</f>
        <v>0</v>
      </c>
      <c r="J33" s="14">
        <v>1237000</v>
      </c>
      <c r="Q33" s="14">
        <f>B33+C33+D33+H33+J33+O33+N33</f>
        <v>1390000</v>
      </c>
    </row>
    <row r="34" spans="1:17" ht="15">
      <c r="A34" s="14" t="s">
        <v>26</v>
      </c>
      <c r="F34" s="46">
        <v>19</v>
      </c>
      <c r="G34" s="46"/>
      <c r="H34" s="51">
        <f>ROUND(4732*F34,-3)</f>
        <v>90000</v>
      </c>
      <c r="J34" s="14">
        <v>0</v>
      </c>
      <c r="O34" s="7">
        <v>-20800</v>
      </c>
      <c r="Q34" s="14">
        <f>B34+C34+D34+H34+J34+O34+N34</f>
        <v>69200</v>
      </c>
    </row>
    <row r="35" spans="1:17" ht="15">
      <c r="A35" s="14" t="s">
        <v>27</v>
      </c>
      <c r="H35" s="51">
        <f>ROUND(4732*F35,-3)</f>
        <v>0</v>
      </c>
      <c r="J35" s="14">
        <v>0</v>
      </c>
      <c r="Q35" s="14">
        <f>B35+C35+D35+H35+J35+O35+N35</f>
        <v>0</v>
      </c>
    </row>
    <row r="36" spans="1:17" ht="15">
      <c r="A36" s="14" t="s">
        <v>28</v>
      </c>
      <c r="H36" s="51">
        <f>ROUND(4732*F36,-3)</f>
        <v>0</v>
      </c>
      <c r="J36" s="14">
        <v>0</v>
      </c>
      <c r="Q36" s="14">
        <f>B36+C36+D36+H36+J36+O36+N36</f>
        <v>0</v>
      </c>
    </row>
    <row r="37" spans="1:17" ht="17.25">
      <c r="A37" s="14" t="s">
        <v>29</v>
      </c>
      <c r="D37" s="14">
        <v>7000000</v>
      </c>
      <c r="H37" s="51">
        <f>ROUND(4732*F37,-3)</f>
        <v>0</v>
      </c>
      <c r="I37" s="51"/>
      <c r="J37" s="14">
        <v>33008000</v>
      </c>
      <c r="K37" s="21"/>
      <c r="L37" s="14">
        <f>14000000+574000</f>
        <v>14574000</v>
      </c>
      <c r="N37" s="14">
        <v>4000000</v>
      </c>
      <c r="O37" s="21"/>
      <c r="P37" s="21"/>
      <c r="Q37" s="14">
        <f>B37+C37+D37+H37+J37+O37+N37+L37</f>
        <v>58582000</v>
      </c>
    </row>
    <row r="38" spans="1:17" ht="15">
      <c r="A38" s="14" t="s">
        <v>43</v>
      </c>
      <c r="H38" s="51">
        <f>ROUND(4732*F38,-3)</f>
        <v>0</v>
      </c>
      <c r="I38" s="51"/>
      <c r="Q38" s="14">
        <f>B38+C38+D38+H38+J38+O38+N38</f>
        <v>0</v>
      </c>
    </row>
    <row r="39" ht="9" customHeight="1">
      <c r="H39" s="51"/>
    </row>
    <row r="40" spans="1:17" ht="15.75" thickBot="1">
      <c r="A40" s="4" t="s">
        <v>30</v>
      </c>
      <c r="B40" s="10">
        <f>SUM(B31:B39)</f>
        <v>11040000</v>
      </c>
      <c r="C40" s="10">
        <f>SUM(C31:C39)</f>
        <v>5037000</v>
      </c>
      <c r="D40" s="10">
        <f>SUM(D31:D39)</f>
        <v>7000000</v>
      </c>
      <c r="E40" s="10"/>
      <c r="F40" s="27">
        <f>SUM(F31:F38)</f>
        <v>3442</v>
      </c>
      <c r="G40" s="27"/>
      <c r="H40" s="44">
        <f>SUM(H31:H39)</f>
        <v>16288000</v>
      </c>
      <c r="I40" s="10"/>
      <c r="J40" s="10">
        <f>SUM(J31:J39)</f>
        <v>65528000</v>
      </c>
      <c r="K40" s="10"/>
      <c r="L40" s="10">
        <f>SUM(L31:L39)</f>
        <v>14574000</v>
      </c>
      <c r="M40" s="10"/>
      <c r="N40" s="10">
        <f>SUM(N31:N39)</f>
        <v>0</v>
      </c>
      <c r="O40" s="10">
        <f>SUM(O31:O39)</f>
        <v>0</v>
      </c>
      <c r="P40" s="10"/>
      <c r="Q40" s="10">
        <f>SUM(Q31:Q39)</f>
        <v>119467000</v>
      </c>
    </row>
    <row r="41" spans="1:17" ht="9" customHeight="1">
      <c r="A41" s="26"/>
      <c r="B41" s="36"/>
      <c r="C41" s="36"/>
      <c r="D41" s="36"/>
      <c r="E41" s="36"/>
      <c r="F41" s="37"/>
      <c r="G41" s="37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8:17" ht="15">
      <c r="H42" s="47"/>
      <c r="I42" s="47"/>
      <c r="J42" s="47"/>
      <c r="K42" s="47"/>
      <c r="L42" s="47"/>
      <c r="M42" s="47"/>
      <c r="N42" s="47"/>
      <c r="O42" s="47"/>
      <c r="P42" s="47"/>
      <c r="Q42" s="62"/>
    </row>
    <row r="43" spans="8:17" ht="15">
      <c r="H43" s="47"/>
      <c r="I43" s="47"/>
      <c r="J43" s="47"/>
      <c r="K43" s="47"/>
      <c r="L43" s="47"/>
      <c r="M43" s="47"/>
      <c r="N43" s="63"/>
      <c r="O43" s="47"/>
      <c r="P43" s="47"/>
      <c r="Q43" s="62"/>
    </row>
    <row r="44" ht="15">
      <c r="Q44" s="2"/>
    </row>
    <row r="45" ht="15">
      <c r="Q45" s="2"/>
    </row>
    <row r="46" ht="15">
      <c r="Q46" s="2"/>
    </row>
    <row r="47" ht="15">
      <c r="Q47" s="2"/>
    </row>
    <row r="48" ht="15">
      <c r="Q48" s="2"/>
    </row>
  </sheetData>
  <sheetProtection/>
  <mergeCells count="2">
    <mergeCell ref="B4:D4"/>
    <mergeCell ref="H4:L4"/>
  </mergeCells>
  <printOptions horizontalCentered="1"/>
  <pageMargins left="0.2" right="0.2" top="0.25" bottom="0.5" header="0.3" footer="0.3"/>
  <pageSetup fitToHeight="1" fitToWidth="1" horizontalDpi="600" verticalDpi="600" orientation="landscape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8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A3"/>
    </sheetView>
  </sheetViews>
  <sheetFormatPr defaultColWidth="8.8515625" defaultRowHeight="15"/>
  <cols>
    <col min="1" max="1" width="25.28125" style="53" customWidth="1"/>
    <col min="2" max="2" width="12.28125" style="53" bestFit="1" customWidth="1"/>
    <col min="3" max="3" width="12.140625" style="53" customWidth="1"/>
    <col min="4" max="4" width="11.00390625" style="53" bestFit="1" customWidth="1"/>
    <col min="5" max="5" width="15.00390625" style="53" customWidth="1"/>
    <col min="6" max="6" width="14.7109375" style="53" customWidth="1"/>
    <col min="7" max="7" width="15.00390625" style="53" customWidth="1"/>
    <col min="8" max="8" width="16.140625" style="53" customWidth="1"/>
    <col min="9" max="9" width="12.7109375" style="53" customWidth="1"/>
    <col min="10" max="10" width="15.28125" style="53" customWidth="1"/>
    <col min="11" max="11" width="14.57421875" style="53" customWidth="1"/>
    <col min="12" max="12" width="1.28515625" style="53" customWidth="1"/>
    <col min="13" max="13" width="13.7109375" style="53" customWidth="1"/>
    <col min="14" max="14" width="10.421875" style="53" bestFit="1" customWidth="1"/>
    <col min="15" max="15" width="12.57421875" style="53" bestFit="1" customWidth="1"/>
    <col min="16" max="16384" width="8.8515625" style="53" customWidth="1"/>
  </cols>
  <sheetData>
    <row r="1" spans="1:2" ht="18.75">
      <c r="A1" s="9" t="s">
        <v>83</v>
      </c>
      <c r="B1" s="9"/>
    </row>
    <row r="2" spans="1:2" ht="18.75">
      <c r="A2" s="9" t="s">
        <v>66</v>
      </c>
      <c r="B2" s="9"/>
    </row>
    <row r="3" spans="1:2" ht="18.75">
      <c r="A3" s="66" t="s">
        <v>44</v>
      </c>
      <c r="B3" s="9"/>
    </row>
    <row r="4" spans="3:11" ht="27" customHeight="1">
      <c r="C4" s="14"/>
      <c r="D4" s="14"/>
      <c r="E4" s="46">
        <v>-1</v>
      </c>
      <c r="F4" s="46">
        <v>-2</v>
      </c>
      <c r="G4" s="46">
        <v>-3</v>
      </c>
      <c r="H4" s="46">
        <v>-4</v>
      </c>
      <c r="I4" s="46">
        <v>-5</v>
      </c>
      <c r="J4" s="46">
        <v>-6</v>
      </c>
      <c r="K4" s="46">
        <v>-7</v>
      </c>
    </row>
    <row r="5" spans="3:11" ht="15.75" thickBot="1">
      <c r="C5" s="14"/>
      <c r="D5" s="14"/>
      <c r="E5" s="54"/>
      <c r="F5" s="24"/>
      <c r="G5" s="69" t="s">
        <v>79</v>
      </c>
      <c r="H5" s="69"/>
      <c r="I5" s="69"/>
      <c r="J5" s="69"/>
      <c r="K5" s="24"/>
    </row>
    <row r="6" spans="2:13" ht="172.5">
      <c r="B6" s="64" t="s">
        <v>61</v>
      </c>
      <c r="C6" s="32" t="s">
        <v>78</v>
      </c>
      <c r="D6" s="32" t="s">
        <v>62</v>
      </c>
      <c r="E6" s="1" t="s">
        <v>70</v>
      </c>
      <c r="F6" s="1" t="s">
        <v>85</v>
      </c>
      <c r="G6" s="16" t="s">
        <v>80</v>
      </c>
      <c r="H6" s="1" t="s">
        <v>81</v>
      </c>
      <c r="I6" s="1" t="s">
        <v>82</v>
      </c>
      <c r="J6" s="16" t="s">
        <v>53</v>
      </c>
      <c r="K6" s="17" t="s">
        <v>40</v>
      </c>
      <c r="M6" s="33" t="s">
        <v>50</v>
      </c>
    </row>
    <row r="7" spans="3:13" ht="24">
      <c r="C7" s="40"/>
      <c r="D7" s="40"/>
      <c r="E7" s="41"/>
      <c r="F7" s="1"/>
      <c r="G7" s="1"/>
      <c r="H7" s="1"/>
      <c r="I7" s="1"/>
      <c r="J7" s="42"/>
      <c r="K7" s="42" t="s">
        <v>38</v>
      </c>
      <c r="M7" s="29" t="s">
        <v>41</v>
      </c>
    </row>
    <row r="8" spans="3:13" ht="9" customHeight="1">
      <c r="C8" s="40"/>
      <c r="D8" s="40"/>
      <c r="E8" s="41"/>
      <c r="F8" s="1"/>
      <c r="G8" s="1"/>
      <c r="H8" s="1"/>
      <c r="I8" s="1"/>
      <c r="J8" s="16"/>
      <c r="K8" s="17"/>
      <c r="M8" s="55"/>
    </row>
    <row r="9" spans="1:15" ht="15">
      <c r="A9" s="48" t="s">
        <v>1</v>
      </c>
      <c r="B9" s="14">
        <v>7216</v>
      </c>
      <c r="C9" s="14">
        <v>72</v>
      </c>
      <c r="D9" s="14">
        <v>139.4</v>
      </c>
      <c r="E9" s="48">
        <f>ROUND(46651262,-2)</f>
        <v>46651300</v>
      </c>
      <c r="F9" s="48">
        <v>-16588400</v>
      </c>
      <c r="G9" s="48">
        <v>-962000</v>
      </c>
      <c r="H9" s="48">
        <v>-48000</v>
      </c>
      <c r="I9" s="48">
        <v>430000</v>
      </c>
      <c r="J9" s="19">
        <v>-96500</v>
      </c>
      <c r="K9" s="48">
        <f>SUM(E9:J9)</f>
        <v>29386400</v>
      </c>
      <c r="M9" s="56">
        <f>F9+J9</f>
        <v>-16684900</v>
      </c>
      <c r="O9" s="57"/>
    </row>
    <row r="10" spans="1:15" ht="15">
      <c r="A10" s="14" t="s">
        <v>2</v>
      </c>
      <c r="B10" s="14">
        <v>5000</v>
      </c>
      <c r="C10" s="14">
        <v>100</v>
      </c>
      <c r="D10" s="14">
        <v>21.1</v>
      </c>
      <c r="E10" s="14">
        <f>ROUND(32094427,-2)</f>
        <v>32094400</v>
      </c>
      <c r="F10" s="14">
        <v>-8627000</v>
      </c>
      <c r="G10" s="14">
        <v>110000</v>
      </c>
      <c r="H10" s="14">
        <v>-18000</v>
      </c>
      <c r="I10" s="14">
        <v>623000</v>
      </c>
      <c r="J10" s="12">
        <v>-106600</v>
      </c>
      <c r="K10" s="14">
        <f aca="true" t="shared" si="0" ref="K10:K31">SUM(E10:J10)</f>
        <v>24075800</v>
      </c>
      <c r="M10" s="56">
        <f aca="true" t="shared" si="1" ref="M10:M31">F10+J10</f>
        <v>-8733600</v>
      </c>
      <c r="O10" s="57"/>
    </row>
    <row r="11" spans="1:15" ht="15">
      <c r="A11" s="14" t="s">
        <v>3</v>
      </c>
      <c r="B11" s="14">
        <v>14563</v>
      </c>
      <c r="C11" s="14">
        <v>146</v>
      </c>
      <c r="D11" s="14">
        <v>689.4</v>
      </c>
      <c r="E11" s="14">
        <v>96700000</v>
      </c>
      <c r="F11" s="14">
        <v>-21904000</v>
      </c>
      <c r="G11" s="14">
        <v>-652000</v>
      </c>
      <c r="H11" s="14">
        <v>560000</v>
      </c>
      <c r="I11" s="14">
        <v>840000</v>
      </c>
      <c r="J11" s="12">
        <v>-142700</v>
      </c>
      <c r="K11" s="14">
        <f t="shared" si="0"/>
        <v>75401300</v>
      </c>
      <c r="M11" s="56">
        <f t="shared" si="1"/>
        <v>-22046700</v>
      </c>
      <c r="O11" s="57"/>
    </row>
    <row r="12" spans="1:15" ht="15">
      <c r="A12" s="14" t="s">
        <v>4</v>
      </c>
      <c r="B12" s="14">
        <v>9928</v>
      </c>
      <c r="C12" s="14">
        <v>199</v>
      </c>
      <c r="D12" s="14">
        <v>78</v>
      </c>
      <c r="E12" s="14">
        <f>ROUND(69131239,-2)</f>
        <v>69131200</v>
      </c>
      <c r="F12" s="14">
        <v>-28217500</v>
      </c>
      <c r="G12" s="14">
        <v>-1176000</v>
      </c>
      <c r="H12" s="14">
        <v>27000</v>
      </c>
      <c r="I12" s="14">
        <v>1354000</v>
      </c>
      <c r="J12" s="12">
        <v>-267400</v>
      </c>
      <c r="K12" s="14">
        <f t="shared" si="0"/>
        <v>40851300</v>
      </c>
      <c r="M12" s="56">
        <f t="shared" si="1"/>
        <v>-28484900</v>
      </c>
      <c r="O12" s="57"/>
    </row>
    <row r="13" spans="1:15" ht="15">
      <c r="A13" s="14" t="s">
        <v>5</v>
      </c>
      <c r="B13" s="14">
        <v>11761</v>
      </c>
      <c r="C13" s="14">
        <v>118</v>
      </c>
      <c r="D13" s="14">
        <v>1203.9</v>
      </c>
      <c r="E13" s="14">
        <f>ROUND(99907597,-2)</f>
        <v>99907600</v>
      </c>
      <c r="F13" s="14">
        <v>-22145800</v>
      </c>
      <c r="G13" s="14">
        <v>-990000</v>
      </c>
      <c r="H13" s="14">
        <v>1303000</v>
      </c>
      <c r="I13" s="14">
        <v>745000</v>
      </c>
      <c r="J13" s="12">
        <v>-121400</v>
      </c>
      <c r="K13" s="14">
        <f t="shared" si="0"/>
        <v>78698400</v>
      </c>
      <c r="M13" s="56">
        <f t="shared" si="1"/>
        <v>-22267200</v>
      </c>
      <c r="O13" s="57"/>
    </row>
    <row r="14" spans="1:15" ht="15">
      <c r="A14" s="14" t="s">
        <v>6</v>
      </c>
      <c r="B14" s="14">
        <v>18178</v>
      </c>
      <c r="C14" s="14">
        <v>273</v>
      </c>
      <c r="D14" s="14">
        <v>571.6</v>
      </c>
      <c r="E14" s="14">
        <f>ROUND(121747505,-2)</f>
        <v>121747500</v>
      </c>
      <c r="F14" s="14">
        <v>-36995200</v>
      </c>
      <c r="G14" s="14">
        <v>709000</v>
      </c>
      <c r="H14" s="14">
        <v>926000</v>
      </c>
      <c r="I14" s="14">
        <v>1699000</v>
      </c>
      <c r="J14" s="12">
        <v>-333600</v>
      </c>
      <c r="K14" s="14">
        <f t="shared" si="0"/>
        <v>87752700</v>
      </c>
      <c r="M14" s="56">
        <f t="shared" si="1"/>
        <v>-37328800</v>
      </c>
      <c r="O14" s="57"/>
    </row>
    <row r="15" spans="1:15" ht="15">
      <c r="A15" s="14" t="s">
        <v>7</v>
      </c>
      <c r="B15" s="14">
        <v>27873</v>
      </c>
      <c r="C15" s="14">
        <v>209</v>
      </c>
      <c r="D15" s="14">
        <v>1177.6</v>
      </c>
      <c r="E15" s="14">
        <f>ROUND(208371775,-2)</f>
        <v>208371800</v>
      </c>
      <c r="F15" s="14">
        <v>-49641600</v>
      </c>
      <c r="G15" s="14">
        <v>475000</v>
      </c>
      <c r="H15" s="14">
        <v>1598000</v>
      </c>
      <c r="I15" s="14">
        <v>1354000</v>
      </c>
      <c r="J15" s="12">
        <v>-213200</v>
      </c>
      <c r="K15" s="14">
        <f t="shared" si="0"/>
        <v>161944000</v>
      </c>
      <c r="M15" s="56">
        <f t="shared" si="1"/>
        <v>-49854800</v>
      </c>
      <c r="O15" s="57"/>
    </row>
    <row r="16" spans="1:15" ht="15">
      <c r="A16" s="14" t="s">
        <v>8</v>
      </c>
      <c r="B16" s="14">
        <v>7251</v>
      </c>
      <c r="C16" s="14">
        <v>36</v>
      </c>
      <c r="D16" s="14">
        <v>184.9</v>
      </c>
      <c r="E16" s="14">
        <f>ROUND(53017305,-2)</f>
        <v>53017300</v>
      </c>
      <c r="F16" s="14">
        <v>-13211300</v>
      </c>
      <c r="G16" s="14">
        <v>-38000</v>
      </c>
      <c r="H16" s="14">
        <v>-107000</v>
      </c>
      <c r="I16" s="14">
        <v>204000</v>
      </c>
      <c r="J16" s="12">
        <v>-41900</v>
      </c>
      <c r="K16" s="14">
        <f t="shared" si="0"/>
        <v>39823100</v>
      </c>
      <c r="M16" s="56">
        <f t="shared" si="1"/>
        <v>-13253200</v>
      </c>
      <c r="O16" s="57"/>
    </row>
    <row r="17" spans="1:15" ht="15">
      <c r="A17" s="14" t="s">
        <v>9</v>
      </c>
      <c r="B17" s="14">
        <v>27848</v>
      </c>
      <c r="C17" s="14">
        <v>209</v>
      </c>
      <c r="D17" s="14">
        <v>1418.2</v>
      </c>
      <c r="E17" s="14">
        <f>ROUND(229667076,-2)</f>
        <v>229667100</v>
      </c>
      <c r="F17" s="14">
        <v>-52044400</v>
      </c>
      <c r="G17" s="14">
        <v>-1632000</v>
      </c>
      <c r="H17" s="14">
        <v>2655000</v>
      </c>
      <c r="I17" s="14">
        <v>1333000</v>
      </c>
      <c r="J17" s="12">
        <v>-233000</v>
      </c>
      <c r="K17" s="14">
        <f t="shared" si="0"/>
        <v>179745700</v>
      </c>
      <c r="M17" s="56">
        <f t="shared" si="1"/>
        <v>-52277400</v>
      </c>
      <c r="O17" s="57"/>
    </row>
    <row r="18" spans="1:15" ht="15">
      <c r="A18" s="14" t="s">
        <v>10</v>
      </c>
      <c r="B18" s="14">
        <v>16931</v>
      </c>
      <c r="C18" s="14">
        <v>169</v>
      </c>
      <c r="D18" s="14">
        <v>604.8</v>
      </c>
      <c r="E18" s="14">
        <f>ROUND(135455142,-2)</f>
        <v>135455100</v>
      </c>
      <c r="F18" s="14">
        <v>-44224300</v>
      </c>
      <c r="G18" s="14">
        <v>-2873000</v>
      </c>
      <c r="H18" s="14">
        <v>644000</v>
      </c>
      <c r="I18" s="14">
        <v>1120000</v>
      </c>
      <c r="J18" s="12">
        <v>-235100</v>
      </c>
      <c r="K18" s="14">
        <f t="shared" si="0"/>
        <v>89886700</v>
      </c>
      <c r="M18" s="56">
        <f t="shared" si="1"/>
        <v>-44459400</v>
      </c>
      <c r="O18" s="57"/>
    </row>
    <row r="19" spans="1:15" ht="15">
      <c r="A19" s="14" t="s">
        <v>11</v>
      </c>
      <c r="B19" s="14">
        <v>1301</v>
      </c>
      <c r="C19" s="14">
        <v>13</v>
      </c>
      <c r="D19" s="14">
        <v>174.3</v>
      </c>
      <c r="E19" s="14">
        <f>ROUND(10656290,-2)</f>
        <v>10656300</v>
      </c>
      <c r="F19" s="14">
        <v>-1881900</v>
      </c>
      <c r="G19" s="14">
        <v>63000</v>
      </c>
      <c r="H19" s="14">
        <v>595000</v>
      </c>
      <c r="I19" s="14">
        <v>54000</v>
      </c>
      <c r="J19" s="12">
        <v>-9900</v>
      </c>
      <c r="K19" s="14">
        <f t="shared" si="0"/>
        <v>9476500</v>
      </c>
      <c r="M19" s="56">
        <f t="shared" si="1"/>
        <v>-1891800</v>
      </c>
      <c r="O19" s="57"/>
    </row>
    <row r="20" spans="1:15" ht="15">
      <c r="A20" s="14" t="s">
        <v>12</v>
      </c>
      <c r="B20" s="14">
        <v>5017</v>
      </c>
      <c r="C20" s="14">
        <v>138</v>
      </c>
      <c r="D20" s="14">
        <v>175.3</v>
      </c>
      <c r="E20" s="14">
        <f>ROUND((30912632-E38)/100,0)*100</f>
        <v>30259600</v>
      </c>
      <c r="F20" s="14">
        <v>-9785500</v>
      </c>
      <c r="G20" s="14">
        <v>-159000</v>
      </c>
      <c r="H20" s="14">
        <v>512000</v>
      </c>
      <c r="I20" s="14">
        <v>794000</v>
      </c>
      <c r="J20" s="12">
        <v>-154600</v>
      </c>
      <c r="K20" s="14">
        <f t="shared" si="0"/>
        <v>21466500</v>
      </c>
      <c r="M20" s="56">
        <f t="shared" si="1"/>
        <v>-9940100</v>
      </c>
      <c r="O20" s="57"/>
    </row>
    <row r="21" spans="1:15" ht="15">
      <c r="A21" s="14" t="s">
        <v>13</v>
      </c>
      <c r="B21" s="14">
        <v>26143</v>
      </c>
      <c r="C21" s="14">
        <v>196</v>
      </c>
      <c r="D21" s="14">
        <v>1976.9</v>
      </c>
      <c r="E21" s="14">
        <f>ROUND(214976644,-2)</f>
        <v>214976600</v>
      </c>
      <c r="F21" s="14">
        <v>-54406800</v>
      </c>
      <c r="G21" s="14">
        <v>-433000</v>
      </c>
      <c r="H21" s="14">
        <v>1368000</v>
      </c>
      <c r="I21" s="14">
        <v>1277000</v>
      </c>
      <c r="J21" s="12">
        <v>-224800</v>
      </c>
      <c r="K21" s="14">
        <f t="shared" si="0"/>
        <v>162557000</v>
      </c>
      <c r="M21" s="56">
        <f t="shared" si="1"/>
        <v>-54631600</v>
      </c>
      <c r="O21" s="57"/>
    </row>
    <row r="22" spans="1:15" ht="15">
      <c r="A22" s="14" t="s">
        <v>14</v>
      </c>
      <c r="B22" s="14">
        <v>17756</v>
      </c>
      <c r="C22" s="14">
        <v>213</v>
      </c>
      <c r="D22" s="14">
        <v>585.4</v>
      </c>
      <c r="E22" s="14">
        <f>ROUND(139008550,-2)</f>
        <v>139008600</v>
      </c>
      <c r="F22" s="14">
        <v>-30575200</v>
      </c>
      <c r="G22" s="14">
        <v>-570000</v>
      </c>
      <c r="H22" s="14">
        <v>74000</v>
      </c>
      <c r="I22" s="14">
        <v>1325000</v>
      </c>
      <c r="J22" s="12">
        <v>-230200</v>
      </c>
      <c r="K22" s="14">
        <f t="shared" si="0"/>
        <v>109032200</v>
      </c>
      <c r="M22" s="56">
        <f t="shared" si="1"/>
        <v>-30805400</v>
      </c>
      <c r="O22" s="57"/>
    </row>
    <row r="23" spans="1:15" ht="15">
      <c r="A23" s="14" t="s">
        <v>15</v>
      </c>
      <c r="B23" s="14">
        <v>22085</v>
      </c>
      <c r="C23" s="14">
        <v>166</v>
      </c>
      <c r="D23" s="14">
        <v>388.6</v>
      </c>
      <c r="E23" s="14">
        <f>ROUND(156441518,-2)</f>
        <v>156441500</v>
      </c>
      <c r="F23" s="14">
        <v>-42917700</v>
      </c>
      <c r="G23" s="14">
        <v>-1092000</v>
      </c>
      <c r="H23" s="14">
        <v>401000</v>
      </c>
      <c r="I23" s="14">
        <v>1082000</v>
      </c>
      <c r="J23" s="12">
        <v>-205800</v>
      </c>
      <c r="K23" s="14">
        <f t="shared" si="0"/>
        <v>113709000</v>
      </c>
      <c r="M23" s="56">
        <f t="shared" si="1"/>
        <v>-43123500</v>
      </c>
      <c r="O23" s="57"/>
    </row>
    <row r="24" spans="1:15" ht="15">
      <c r="A24" s="14" t="s">
        <v>16</v>
      </c>
      <c r="B24" s="14">
        <v>14616</v>
      </c>
      <c r="C24" s="14">
        <v>146</v>
      </c>
      <c r="D24" s="14">
        <v>916.4</v>
      </c>
      <c r="E24" s="14">
        <f>ROUND(115989101,-2)</f>
        <v>115989100</v>
      </c>
      <c r="F24" s="14">
        <v>-33316900</v>
      </c>
      <c r="G24" s="14">
        <v>-278000</v>
      </c>
      <c r="H24" s="14">
        <v>621000</v>
      </c>
      <c r="I24" s="14">
        <v>911000</v>
      </c>
      <c r="J24" s="12">
        <v>-185000</v>
      </c>
      <c r="K24" s="14">
        <f t="shared" si="0"/>
        <v>83741200</v>
      </c>
      <c r="M24" s="56">
        <f t="shared" si="1"/>
        <v>-33501900</v>
      </c>
      <c r="O24" s="57"/>
    </row>
    <row r="25" spans="1:15" ht="15">
      <c r="A25" s="14" t="s">
        <v>17</v>
      </c>
      <c r="B25" s="14">
        <v>26400</v>
      </c>
      <c r="C25" s="14">
        <v>198</v>
      </c>
      <c r="D25" s="14">
        <v>2522.1</v>
      </c>
      <c r="E25" s="14">
        <f>ROUND(210999789,-2)</f>
        <v>210999800</v>
      </c>
      <c r="F25" s="14">
        <v>-40506800</v>
      </c>
      <c r="G25" s="14">
        <v>-393000</v>
      </c>
      <c r="H25" s="14">
        <v>2885000</v>
      </c>
      <c r="I25" s="14">
        <v>1249000</v>
      </c>
      <c r="J25" s="12">
        <v>-160400</v>
      </c>
      <c r="K25" s="14">
        <f t="shared" si="0"/>
        <v>174073600</v>
      </c>
      <c r="M25" s="56">
        <f t="shared" si="1"/>
        <v>-40667200</v>
      </c>
      <c r="O25" s="57"/>
    </row>
    <row r="26" spans="1:15" ht="15">
      <c r="A26" s="14" t="s">
        <v>18</v>
      </c>
      <c r="B26" s="14">
        <v>23351</v>
      </c>
      <c r="C26" s="14">
        <v>175</v>
      </c>
      <c r="D26" s="14">
        <v>1601.2</v>
      </c>
      <c r="E26" s="14">
        <f>ROUND(182518693,-2)</f>
        <v>182518700</v>
      </c>
      <c r="F26" s="14">
        <v>-44375200</v>
      </c>
      <c r="G26" s="14">
        <v>863000</v>
      </c>
      <c r="H26" s="14">
        <v>444000</v>
      </c>
      <c r="I26" s="14">
        <v>1116000</v>
      </c>
      <c r="J26" s="12">
        <v>-182100</v>
      </c>
      <c r="K26" s="14">
        <f t="shared" si="0"/>
        <v>140384400</v>
      </c>
      <c r="M26" s="56">
        <f t="shared" si="1"/>
        <v>-44557300</v>
      </c>
      <c r="O26" s="57"/>
    </row>
    <row r="27" spans="1:15" ht="15">
      <c r="A27" s="14" t="s">
        <v>19</v>
      </c>
      <c r="B27" s="14">
        <v>21748</v>
      </c>
      <c r="C27" s="14">
        <v>163</v>
      </c>
      <c r="D27" s="14">
        <v>1925.5</v>
      </c>
      <c r="E27" s="14">
        <f>ROUND(202339985,-2)</f>
        <v>202340000</v>
      </c>
      <c r="F27" s="14">
        <v>-38205400</v>
      </c>
      <c r="G27" s="14">
        <v>-744000</v>
      </c>
      <c r="H27" s="14">
        <v>4137000</v>
      </c>
      <c r="I27" s="14">
        <v>1067000</v>
      </c>
      <c r="J27" s="12">
        <v>-153100</v>
      </c>
      <c r="K27" s="14">
        <f t="shared" si="0"/>
        <v>168441500</v>
      </c>
      <c r="M27" s="56">
        <f t="shared" si="1"/>
        <v>-38358500</v>
      </c>
      <c r="O27" s="57"/>
    </row>
    <row r="28" spans="1:15" ht="15">
      <c r="A28" s="14" t="s">
        <v>20</v>
      </c>
      <c r="B28" s="14">
        <v>16517</v>
      </c>
      <c r="C28" s="14">
        <v>83</v>
      </c>
      <c r="D28" s="14">
        <v>1894.8</v>
      </c>
      <c r="E28" s="14">
        <v>164229000</v>
      </c>
      <c r="F28" s="14">
        <v>-13281500</v>
      </c>
      <c r="G28" s="14">
        <v>11000</v>
      </c>
      <c r="H28" s="14">
        <v>1930000</v>
      </c>
      <c r="I28" s="14">
        <v>471000</v>
      </c>
      <c r="J28" s="12">
        <v>-44300</v>
      </c>
      <c r="K28" s="14">
        <f t="shared" si="0"/>
        <v>153315200</v>
      </c>
      <c r="M28" s="56">
        <f t="shared" si="1"/>
        <v>-13325800</v>
      </c>
      <c r="O28" s="57"/>
    </row>
    <row r="29" spans="1:15" ht="15">
      <c r="A29" s="14" t="s">
        <v>21</v>
      </c>
      <c r="B29" s="14">
        <v>8391</v>
      </c>
      <c r="C29" s="14">
        <v>252</v>
      </c>
      <c r="D29" s="14">
        <v>213.9</v>
      </c>
      <c r="E29" s="14">
        <v>66479000</v>
      </c>
      <c r="F29" s="14">
        <v>-16167800</v>
      </c>
      <c r="G29" s="14">
        <v>-2162000</v>
      </c>
      <c r="H29" s="14">
        <v>280000</v>
      </c>
      <c r="I29" s="14">
        <v>1618000</v>
      </c>
      <c r="J29" s="12">
        <v>-266700</v>
      </c>
      <c r="K29" s="14">
        <f t="shared" si="0"/>
        <v>49780500</v>
      </c>
      <c r="M29" s="56">
        <f t="shared" si="1"/>
        <v>-16434500</v>
      </c>
      <c r="O29" s="57"/>
    </row>
    <row r="30" spans="1:15" ht="15">
      <c r="A30" s="14" t="s">
        <v>22</v>
      </c>
      <c r="B30" s="14">
        <v>7810</v>
      </c>
      <c r="C30" s="14">
        <v>78</v>
      </c>
      <c r="D30" s="14">
        <v>68.1</v>
      </c>
      <c r="E30" s="14">
        <f>ROUND(49833950,-2)</f>
        <v>49834000</v>
      </c>
      <c r="F30" s="14">
        <v>-9750100</v>
      </c>
      <c r="G30" s="14">
        <v>-182000</v>
      </c>
      <c r="H30" s="14">
        <v>-63000</v>
      </c>
      <c r="I30" s="14">
        <v>456000</v>
      </c>
      <c r="J30" s="12">
        <v>-62600</v>
      </c>
      <c r="K30" s="14">
        <f t="shared" si="0"/>
        <v>40232300</v>
      </c>
      <c r="M30" s="56">
        <f t="shared" si="1"/>
        <v>-9812700</v>
      </c>
      <c r="O30" s="57"/>
    </row>
    <row r="31" spans="1:15" ht="15">
      <c r="A31" s="14" t="s">
        <v>23</v>
      </c>
      <c r="B31" s="14">
        <v>7077</v>
      </c>
      <c r="C31" s="14">
        <v>71</v>
      </c>
      <c r="D31" s="14">
        <v>81</v>
      </c>
      <c r="E31" s="14">
        <f>ROUND(49338082,-2)</f>
        <v>49338100</v>
      </c>
      <c r="F31" s="14">
        <v>-15558500</v>
      </c>
      <c r="G31" s="14">
        <v>-733000</v>
      </c>
      <c r="H31" s="14">
        <v>-7000</v>
      </c>
      <c r="I31" s="14">
        <v>448000</v>
      </c>
      <c r="J31" s="12">
        <v>-94800</v>
      </c>
      <c r="K31" s="14">
        <f t="shared" si="0"/>
        <v>33392800</v>
      </c>
      <c r="M31" s="56">
        <f t="shared" si="1"/>
        <v>-15653300</v>
      </c>
      <c r="O31" s="57"/>
    </row>
    <row r="32" spans="1:13" ht="6" customHeight="1">
      <c r="A32" s="14"/>
      <c r="B32" s="14"/>
      <c r="C32" s="14"/>
      <c r="D32" s="14"/>
      <c r="E32" s="14"/>
      <c r="F32" s="14"/>
      <c r="G32" s="14"/>
      <c r="H32" s="14"/>
      <c r="I32" s="14"/>
      <c r="J32" s="48"/>
      <c r="K32" s="14"/>
      <c r="M32" s="55"/>
    </row>
    <row r="33" spans="1:13" ht="15">
      <c r="A33" s="11" t="s">
        <v>24</v>
      </c>
      <c r="B33" s="6">
        <f aca="true" t="shared" si="2" ref="B33:M33">SUM(B9:B31)</f>
        <v>344761</v>
      </c>
      <c r="C33" s="6">
        <f t="shared" si="2"/>
        <v>3423</v>
      </c>
      <c r="D33" s="6">
        <f t="shared" si="2"/>
        <v>18612.4</v>
      </c>
      <c r="E33" s="11">
        <f t="shared" si="2"/>
        <v>2685813600</v>
      </c>
      <c r="F33" s="11">
        <f t="shared" si="2"/>
        <v>-644328800</v>
      </c>
      <c r="G33" s="11">
        <f t="shared" si="2"/>
        <v>-12838000</v>
      </c>
      <c r="H33" s="11">
        <f t="shared" si="2"/>
        <v>20717000</v>
      </c>
      <c r="I33" s="11">
        <f t="shared" si="2"/>
        <v>21570000</v>
      </c>
      <c r="J33" s="11">
        <f t="shared" si="2"/>
        <v>-3765700</v>
      </c>
      <c r="K33" s="11">
        <f t="shared" si="2"/>
        <v>2067168100</v>
      </c>
      <c r="M33" s="30">
        <f t="shared" si="2"/>
        <v>-648094500</v>
      </c>
    </row>
    <row r="34" spans="1:13" ht="6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M34" s="55"/>
    </row>
    <row r="35" spans="1:15" ht="15">
      <c r="A35" s="14" t="s">
        <v>25</v>
      </c>
      <c r="B35" s="14">
        <v>0</v>
      </c>
      <c r="C35" s="14"/>
      <c r="D35" s="14"/>
      <c r="E35" s="14"/>
      <c r="F35" s="14"/>
      <c r="G35" s="14"/>
      <c r="H35" s="14"/>
      <c r="I35" s="14"/>
      <c r="J35" s="14"/>
      <c r="K35" s="14"/>
      <c r="M35" s="55"/>
      <c r="O35" s="57"/>
    </row>
    <row r="36" spans="1:15" ht="15">
      <c r="A36" s="14" t="s">
        <v>26</v>
      </c>
      <c r="B36" s="14">
        <v>606</v>
      </c>
      <c r="C36" s="14">
        <v>19</v>
      </c>
      <c r="D36" s="14">
        <v>1</v>
      </c>
      <c r="E36" s="14"/>
      <c r="F36" s="14"/>
      <c r="G36" s="14">
        <v>0</v>
      </c>
      <c r="H36" s="14">
        <v>6000</v>
      </c>
      <c r="I36" s="12">
        <v>128000</v>
      </c>
      <c r="J36" s="12">
        <v>0</v>
      </c>
      <c r="K36" s="14">
        <f>SUM(E36:J36)</f>
        <v>134000</v>
      </c>
      <c r="M36" s="55"/>
      <c r="O36" s="57"/>
    </row>
    <row r="37" spans="1:15" ht="15">
      <c r="A37" s="14" t="s">
        <v>27</v>
      </c>
      <c r="B37" s="14">
        <v>632</v>
      </c>
      <c r="C37" s="14"/>
      <c r="D37" s="14">
        <v>14.3</v>
      </c>
      <c r="E37" s="14">
        <v>2998000</v>
      </c>
      <c r="F37" s="14"/>
      <c r="G37" s="14">
        <v>-30000</v>
      </c>
      <c r="H37" s="14">
        <v>36000</v>
      </c>
      <c r="I37" s="14"/>
      <c r="J37" s="14"/>
      <c r="K37" s="14">
        <f>SUM(E37:J37)</f>
        <v>3004000</v>
      </c>
      <c r="M37" s="55"/>
      <c r="O37" s="57"/>
    </row>
    <row r="38" spans="1:15" ht="15">
      <c r="A38" s="14" t="s">
        <v>28</v>
      </c>
      <c r="B38" s="14">
        <v>51</v>
      </c>
      <c r="C38" s="14" t="s">
        <v>36</v>
      </c>
      <c r="D38" s="14">
        <v>2.7</v>
      </c>
      <c r="E38" s="14">
        <v>653000</v>
      </c>
      <c r="F38" s="14"/>
      <c r="G38" s="14">
        <v>-4000</v>
      </c>
      <c r="H38" s="14">
        <v>-2000</v>
      </c>
      <c r="I38" s="14"/>
      <c r="J38" s="14"/>
      <c r="K38" s="14">
        <f>SUM(E38:J38)</f>
        <v>647000</v>
      </c>
      <c r="M38" s="55"/>
      <c r="O38" s="57"/>
    </row>
    <row r="39" spans="1:13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M39" s="55"/>
    </row>
    <row r="40" spans="1:15" ht="15.75" thickBot="1">
      <c r="A40" s="10" t="s">
        <v>30</v>
      </c>
      <c r="B40" s="4">
        <f>SUM(B33:B39)</f>
        <v>346050</v>
      </c>
      <c r="C40" s="4">
        <f>SUM(C33:C39)</f>
        <v>3442</v>
      </c>
      <c r="D40" s="4">
        <f>SUM(D33:D39)</f>
        <v>18630.4</v>
      </c>
      <c r="E40" s="10">
        <f aca="true" t="shared" si="3" ref="E40:M40">SUM(E33:E38)</f>
        <v>2689464600</v>
      </c>
      <c r="F40" s="10">
        <f t="shared" si="3"/>
        <v>-644328800</v>
      </c>
      <c r="G40" s="10">
        <f t="shared" si="3"/>
        <v>-12872000</v>
      </c>
      <c r="H40" s="10">
        <f t="shared" si="3"/>
        <v>20757000</v>
      </c>
      <c r="I40" s="10">
        <f t="shared" si="3"/>
        <v>21698000</v>
      </c>
      <c r="J40" s="10">
        <f t="shared" si="3"/>
        <v>-3765700</v>
      </c>
      <c r="K40" s="10">
        <f t="shared" si="3"/>
        <v>2070953100</v>
      </c>
      <c r="M40" s="28">
        <f t="shared" si="3"/>
        <v>-648094500</v>
      </c>
      <c r="O40" s="48"/>
    </row>
    <row r="41" spans="3:15" ht="9" customHeight="1">
      <c r="C41" s="14"/>
      <c r="D41" s="14"/>
      <c r="E41" s="14"/>
      <c r="F41" s="14"/>
      <c r="G41" s="14"/>
      <c r="H41" s="14"/>
      <c r="I41" s="14"/>
      <c r="J41" s="14"/>
      <c r="K41" s="14"/>
      <c r="M41" s="48"/>
      <c r="N41" s="48"/>
      <c r="O41" s="48"/>
    </row>
    <row r="42" spans="1:15" ht="17.25" customHeight="1">
      <c r="A42" s="53" t="s">
        <v>63</v>
      </c>
      <c r="C42" s="14"/>
      <c r="D42" s="14"/>
      <c r="E42" s="14"/>
      <c r="F42" s="14"/>
      <c r="G42" s="14"/>
      <c r="H42" s="65"/>
      <c r="I42" s="14"/>
      <c r="J42" s="14"/>
      <c r="K42" s="14"/>
      <c r="M42" s="48"/>
      <c r="N42" s="48"/>
      <c r="O42" s="48"/>
    </row>
    <row r="43" spans="1:14" ht="31.5" customHeight="1">
      <c r="A43" s="73" t="s">
        <v>71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48"/>
      <c r="N43" s="48"/>
    </row>
    <row r="44" spans="3:15" ht="15">
      <c r="C44" s="14"/>
      <c r="D44" s="14"/>
      <c r="E44" s="14"/>
      <c r="F44" s="14"/>
      <c r="G44" s="14"/>
      <c r="H44" s="14"/>
      <c r="I44" s="14"/>
      <c r="J44" s="14"/>
      <c r="K44" s="14"/>
      <c r="M44" s="34"/>
      <c r="O44" s="48"/>
    </row>
    <row r="45" spans="13:15" ht="15">
      <c r="M45" s="34"/>
      <c r="O45" s="34"/>
    </row>
    <row r="46" ht="15">
      <c r="M46" s="34"/>
    </row>
    <row r="47" ht="15">
      <c r="M47" s="14"/>
    </row>
    <row r="48" ht="15">
      <c r="M48" s="14"/>
    </row>
  </sheetData>
  <sheetProtection/>
  <mergeCells count="2">
    <mergeCell ref="A43:K43"/>
    <mergeCell ref="G5:J5"/>
  </mergeCells>
  <printOptions horizontalCentered="1"/>
  <pageMargins left="0.7" right="0.7" top="0.75" bottom="0.75" header="0.3" footer="0.3"/>
  <pageSetup fitToHeight="1" fitToWidth="1" horizontalDpi="600" verticalDpi="600" orientation="landscape" paperSize="5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Rideau, Rodney</dc:creator>
  <cp:keywords/>
  <dc:description/>
  <cp:lastModifiedBy>Kemsley, Chris</cp:lastModifiedBy>
  <cp:lastPrinted>2015-05-13T21:45:39Z</cp:lastPrinted>
  <dcterms:created xsi:type="dcterms:W3CDTF">2015-03-23T19:18:44Z</dcterms:created>
  <dcterms:modified xsi:type="dcterms:W3CDTF">2018-11-15T22:17:02Z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f57f132f-3f00-4196-abd6-b2288f038777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72WVDYXX2UNK-1717399031-187</vt:lpwstr>
  </property>
  <property fmtid="{D5CDD505-2E9C-101B-9397-08002B2CF9AE}" pid="7" name="_dlc_DocIdUrl">
    <vt:lpwstr>https://update.calstate.edu/csu-system/about-the-csu/budget/_layouts/15/DocIdRedir.aspx?ID=72WVDYXX2UNK-1717399031-187, 72WVDYXX2UNK-1717399031-187</vt:lpwstr>
  </property>
</Properties>
</file>